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zou\Desktop\2024-09\SCTASK0604512\"/>
    </mc:Choice>
  </mc:AlternateContent>
  <xr:revisionPtr revIDLastSave="0" documentId="13_ncr:1_{11667172-5B9C-428A-A4E4-1842DCB071FD}" xr6:coauthVersionLast="47" xr6:coauthVersionMax="47" xr10:uidLastSave="{00000000-0000-0000-0000-000000000000}"/>
  <bookViews>
    <workbookView xWindow="-120" yWindow="-120" windowWidth="51840" windowHeight="21120" xr2:uid="{53ADD118-9D3D-4433-93B2-88D143A795F1}"/>
  </bookViews>
  <sheets>
    <sheet name="FY24 HDMT Summary" sheetId="5" r:id="rId1"/>
    <sheet name="FY24 MDSP Summary" sheetId="7" r:id="rId2"/>
    <sheet name="Draft - MTP" sheetId="2" state="hidden" r:id="rId3"/>
  </sheets>
  <definedNames>
    <definedName name="_xlnm._FilterDatabase" localSheetId="0" hidden="1">'FY24 HDMT Summary'!$A$6:$E$61</definedName>
    <definedName name="_xlnm._FilterDatabase" localSheetId="1" hidden="1">'FY24 MDSP Summary'!$A$7:$E$59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7" l="1"/>
  <c r="D60" i="7"/>
  <c r="C60" i="7"/>
  <c r="E62" i="5"/>
  <c r="D62" i="5"/>
  <c r="C62" i="5"/>
  <c r="I6" i="2"/>
  <c r="J6" i="2" s="1"/>
  <c r="I7" i="2"/>
  <c r="J7" i="2" s="1"/>
  <c r="I8" i="2"/>
  <c r="I9" i="2"/>
  <c r="J9" i="2" s="1"/>
  <c r="I10" i="2"/>
  <c r="J10" i="2" s="1"/>
  <c r="I11" i="2"/>
  <c r="J11" i="2" s="1"/>
  <c r="I12" i="2"/>
  <c r="I13" i="2"/>
  <c r="J13" i="2" s="1"/>
  <c r="I14" i="2"/>
  <c r="J14" i="2" s="1"/>
  <c r="I15" i="2"/>
  <c r="J15" i="2" s="1"/>
  <c r="I16" i="2"/>
  <c r="I17" i="2"/>
  <c r="J17" i="2" s="1"/>
  <c r="I18" i="2"/>
  <c r="I19" i="2"/>
  <c r="I20" i="2"/>
  <c r="J20" i="2" s="1"/>
  <c r="I21" i="2"/>
  <c r="J21" i="2" s="1"/>
  <c r="I22" i="2"/>
  <c r="J22" i="2" s="1"/>
  <c r="I23" i="2"/>
  <c r="J23" i="2" s="1"/>
  <c r="I24" i="2"/>
  <c r="I25" i="2"/>
  <c r="J25" i="2" s="1"/>
  <c r="I26" i="2"/>
  <c r="J26" i="2" s="1"/>
  <c r="I27" i="2"/>
  <c r="I28" i="2"/>
  <c r="I29" i="2"/>
  <c r="I30" i="2"/>
  <c r="I31" i="2"/>
  <c r="J31" i="2" s="1"/>
  <c r="I32" i="2"/>
  <c r="J32" i="2" s="1"/>
  <c r="I34" i="2"/>
  <c r="I35" i="2"/>
  <c r="J35" i="2" s="1"/>
  <c r="I36" i="2"/>
  <c r="J36" i="2" s="1"/>
  <c r="I37" i="2"/>
  <c r="I38" i="2"/>
  <c r="J38" i="2" s="1"/>
  <c r="I33" i="2"/>
  <c r="J33" i="2" s="1"/>
  <c r="I39" i="2"/>
  <c r="J39" i="2" s="1"/>
  <c r="I40" i="2"/>
  <c r="I42" i="2"/>
  <c r="I43" i="2"/>
  <c r="J43" i="2" s="1"/>
  <c r="I44" i="2"/>
  <c r="J44" i="2" s="1"/>
  <c r="I45" i="2"/>
  <c r="I46" i="2"/>
  <c r="J46" i="2" s="1"/>
  <c r="I47" i="2"/>
  <c r="J47" i="2" s="1"/>
  <c r="I49" i="2"/>
  <c r="J49" i="2" s="1"/>
  <c r="I50" i="2"/>
  <c r="I51" i="2"/>
  <c r="J51" i="2" s="1"/>
  <c r="I52" i="2"/>
  <c r="I54" i="2"/>
  <c r="I58" i="2"/>
  <c r="J58" i="2" s="1"/>
  <c r="I57" i="2"/>
  <c r="I59" i="2"/>
  <c r="J59" i="2" s="1"/>
  <c r="I60" i="2"/>
  <c r="J60" i="2" s="1"/>
  <c r="I62" i="2"/>
  <c r="G53" i="2"/>
  <c r="I53" i="2" s="1"/>
  <c r="J53" i="2" s="1"/>
  <c r="G48" i="2"/>
  <c r="I48" i="2" s="1"/>
  <c r="J48" i="2" s="1"/>
  <c r="G56" i="2"/>
  <c r="F56" i="2"/>
  <c r="F41" i="2"/>
  <c r="I41" i="2" s="1"/>
  <c r="J41" i="2" s="1"/>
  <c r="F61" i="2"/>
  <c r="B11" i="2"/>
  <c r="B33" i="2"/>
  <c r="B58" i="2"/>
  <c r="G61" i="2"/>
  <c r="E56" i="2"/>
  <c r="J62" i="2"/>
  <c r="D45" i="2"/>
  <c r="D18" i="2"/>
  <c r="D12" i="2"/>
  <c r="D30" i="2"/>
  <c r="D29" i="2"/>
  <c r="D27" i="2"/>
  <c r="D34" i="2"/>
  <c r="D28" i="2"/>
  <c r="D50" i="2"/>
  <c r="D24" i="2"/>
  <c r="D42" i="2"/>
  <c r="D37" i="2"/>
  <c r="D55" i="2"/>
  <c r="D16" i="2"/>
  <c r="D40" i="2"/>
  <c r="D52" i="2"/>
  <c r="D8" i="2"/>
  <c r="D54" i="2"/>
  <c r="D19" i="2"/>
  <c r="D57" i="2"/>
  <c r="B12" i="2"/>
  <c r="B14" i="2"/>
  <c r="B16" i="2"/>
  <c r="B18" i="2"/>
  <c r="B19" i="2"/>
  <c r="B24" i="2"/>
  <c r="B27" i="2"/>
  <c r="B28" i="2"/>
  <c r="B29" i="2"/>
  <c r="B30" i="2"/>
  <c r="B34" i="2"/>
  <c r="B37" i="2"/>
  <c r="B40" i="2"/>
  <c r="B42" i="2"/>
  <c r="B45" i="2"/>
  <c r="B50" i="2"/>
  <c r="B52" i="2"/>
  <c r="B54" i="2"/>
  <c r="B55" i="2"/>
  <c r="B57" i="2"/>
  <c r="B32" i="2"/>
  <c r="B39" i="2"/>
  <c r="B47" i="2"/>
  <c r="B48" i="2"/>
  <c r="B53" i="2"/>
  <c r="B7" i="2"/>
  <c r="B9" i="2"/>
  <c r="B21" i="2"/>
  <c r="B26" i="2"/>
  <c r="B25" i="2"/>
  <c r="B13" i="2"/>
  <c r="B15" i="2"/>
  <c r="B17" i="2"/>
  <c r="B20" i="2"/>
  <c r="B22" i="2"/>
  <c r="B23" i="2"/>
  <c r="B31" i="2"/>
  <c r="B35" i="2"/>
  <c r="B36" i="2"/>
  <c r="B38" i="2"/>
  <c r="B43" i="2"/>
  <c r="B44" i="2"/>
  <c r="B49" i="2"/>
  <c r="B56" i="2"/>
  <c r="B59" i="2"/>
  <c r="B60" i="2"/>
  <c r="B41" i="2"/>
  <c r="B6" i="2"/>
  <c r="B10" i="2"/>
  <c r="B46" i="2"/>
  <c r="B51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8" i="2"/>
  <c r="I56" i="2" l="1"/>
  <c r="J56" i="2" s="1"/>
  <c r="E61" i="2"/>
  <c r="I61" i="2" s="1"/>
  <c r="I55" i="2"/>
  <c r="J55" i="2" s="1"/>
  <c r="J57" i="2"/>
  <c r="J54" i="2"/>
  <c r="J52" i="2"/>
  <c r="J50" i="2"/>
  <c r="J45" i="2"/>
  <c r="J42" i="2"/>
  <c r="J40" i="2"/>
  <c r="J37" i="2"/>
  <c r="J34" i="2"/>
  <c r="J30" i="2"/>
  <c r="J29" i="2"/>
  <c r="J28" i="2"/>
  <c r="J27" i="2"/>
  <c r="J24" i="2"/>
  <c r="J19" i="2"/>
  <c r="J18" i="2"/>
  <c r="J16" i="2"/>
  <c r="J12" i="2"/>
  <c r="J8" i="2"/>
  <c r="D61" i="2"/>
  <c r="J61" i="2" s="1"/>
</calcChain>
</file>

<file path=xl/sharedStrings.xml><?xml version="1.0" encoding="utf-8"?>
<sst xmlns="http://schemas.openxmlformats.org/spreadsheetml/2006/main" count="306" uniqueCount="225">
  <si>
    <t>*Embedded PD w/setup</t>
  </si>
  <si>
    <t>*Additional trainings/virtual PD</t>
  </si>
  <si>
    <t>OrgCode</t>
  </si>
  <si>
    <t>District</t>
  </si>
  <si>
    <t>Total</t>
  </si>
  <si>
    <t>Amherst-Pelham</t>
  </si>
  <si>
    <t>Athol-Royalston</t>
  </si>
  <si>
    <t>Attleboro</t>
  </si>
  <si>
    <t>Bedford</t>
  </si>
  <si>
    <t>Blackstone-Milville</t>
  </si>
  <si>
    <t>Boston</t>
  </si>
  <si>
    <t>Clinton</t>
  </si>
  <si>
    <t>Danvers</t>
  </si>
  <si>
    <t>Dartmouth</t>
  </si>
  <si>
    <t>Dennis-Yarmouth</t>
  </si>
  <si>
    <t>Douglas</t>
  </si>
  <si>
    <t>Franklin</t>
  </si>
  <si>
    <t>Haverhill</t>
  </si>
  <si>
    <t>Holyoke</t>
  </si>
  <si>
    <t>Leicester</t>
  </si>
  <si>
    <t>Lowell</t>
  </si>
  <si>
    <t>Ludlow</t>
  </si>
  <si>
    <t>Medford</t>
  </si>
  <si>
    <t>Mendon-Upton</t>
  </si>
  <si>
    <t>Middleborough</t>
  </si>
  <si>
    <t>Milford</t>
  </si>
  <si>
    <t>Millbury</t>
  </si>
  <si>
    <t>Monson</t>
  </si>
  <si>
    <t>Mount Greylock</t>
  </si>
  <si>
    <t>Needham</t>
  </si>
  <si>
    <t>Newton</t>
  </si>
  <si>
    <t>North Adams</t>
  </si>
  <si>
    <t>North Andover</t>
  </si>
  <si>
    <t>Northborough</t>
  </si>
  <si>
    <t>Northbridge</t>
  </si>
  <si>
    <t>Norton</t>
  </si>
  <si>
    <t>Peabody</t>
  </si>
  <si>
    <t>Pittsfield</t>
  </si>
  <si>
    <t>Quincy</t>
  </si>
  <si>
    <t>Randolph</t>
  </si>
  <si>
    <t>Revere</t>
  </si>
  <si>
    <t>Scituate</t>
  </si>
  <si>
    <t>Shrewsbury</t>
  </si>
  <si>
    <t>Southborough</t>
  </si>
  <si>
    <t>Stoneham</t>
  </si>
  <si>
    <t>Taunton</t>
  </si>
  <si>
    <t>Wachusett</t>
  </si>
  <si>
    <t>Wakefield</t>
  </si>
  <si>
    <t>Walpole</t>
  </si>
  <si>
    <t>Waltham</t>
  </si>
  <si>
    <t>Wareham</t>
  </si>
  <si>
    <t>West Bridgewater</t>
  </si>
  <si>
    <t>Westport</t>
  </si>
  <si>
    <t>Westwood</t>
  </si>
  <si>
    <t>Weymouth</t>
  </si>
  <si>
    <t>2305 Classroom Teachers</t>
  </si>
  <si>
    <t>2330 Paraprofessionals</t>
  </si>
  <si>
    <t>Baystate Academy Charter Public School (District)</t>
  </si>
  <si>
    <t>Berkley</t>
  </si>
  <si>
    <t>Braintree</t>
  </si>
  <si>
    <t>Brockton</t>
  </si>
  <si>
    <t>Centeral Berkshire</t>
  </si>
  <si>
    <t>Christa McAuliffe Charter School (District)</t>
  </si>
  <si>
    <t>Dracut</t>
  </si>
  <si>
    <t>Excel Academy Charter (District)</t>
  </si>
  <si>
    <t>Fall River</t>
  </si>
  <si>
    <t>Fitchburg</t>
  </si>
  <si>
    <t>Framingham</t>
  </si>
  <si>
    <t>Gateway Regional</t>
  </si>
  <si>
    <t>Hanover</t>
  </si>
  <si>
    <t>Hudson</t>
  </si>
  <si>
    <t>KIPP Academy Boston Charter School (District)</t>
  </si>
  <si>
    <t>KIPP Academy Lynn Charter (District)</t>
  </si>
  <si>
    <t>Lawrence</t>
  </si>
  <si>
    <t>Lexington</t>
  </si>
  <si>
    <t>Lynn</t>
  </si>
  <si>
    <t>Marlborough</t>
  </si>
  <si>
    <t>Martin Luther King, Jr. Charter School of Excellence (District)</t>
  </si>
  <si>
    <t>Maynard</t>
  </si>
  <si>
    <t>Medway</t>
  </si>
  <si>
    <t>Methuen</t>
  </si>
  <si>
    <t>Mohawk Trail</t>
  </si>
  <si>
    <t>New Bedford</t>
  </si>
  <si>
    <t>North Middlesex</t>
  </si>
  <si>
    <t>North Reading</t>
  </si>
  <si>
    <t>Orange</t>
  </si>
  <si>
    <t>Palmer</t>
  </si>
  <si>
    <t>Reading</t>
  </si>
  <si>
    <t>Salem</t>
  </si>
  <si>
    <t>Spencer-E Brookfield</t>
  </si>
  <si>
    <t>Springfield</t>
  </si>
  <si>
    <t>UP Academy Charter School of Dorchester (District)</t>
  </si>
  <si>
    <t>Veritas Preparatory Charter School (District)</t>
  </si>
  <si>
    <t>0605</t>
  </si>
  <si>
    <t>3509</t>
  </si>
  <si>
    <t>0615</t>
  </si>
  <si>
    <t>0016</t>
  </si>
  <si>
    <t>3502</t>
  </si>
  <si>
    <t>0023</t>
  </si>
  <si>
    <t>0027</t>
  </si>
  <si>
    <t>0622</t>
  </si>
  <si>
    <t>0035</t>
  </si>
  <si>
    <t>0481</t>
  </si>
  <si>
    <t>0040</t>
  </si>
  <si>
    <t>0044</t>
  </si>
  <si>
    <t>0418</t>
  </si>
  <si>
    <t>0064</t>
  </si>
  <si>
    <t>0071</t>
  </si>
  <si>
    <t>0072</t>
  </si>
  <si>
    <t>0645</t>
  </si>
  <si>
    <t>0077</t>
  </si>
  <si>
    <t>0079</t>
  </si>
  <si>
    <t>0658</t>
  </si>
  <si>
    <t>0410</t>
  </si>
  <si>
    <t>0095</t>
  </si>
  <si>
    <t>0097</t>
  </si>
  <si>
    <t>0100</t>
  </si>
  <si>
    <t>0101</t>
  </si>
  <si>
    <t>Gateway</t>
  </si>
  <si>
    <t>0672</t>
  </si>
  <si>
    <t>0122</t>
  </si>
  <si>
    <t>0128</t>
  </si>
  <si>
    <t>0137</t>
  </si>
  <si>
    <t>0141</t>
  </si>
  <si>
    <t>0463</t>
  </si>
  <si>
    <t>0429</t>
  </si>
  <si>
    <t>0149</t>
  </si>
  <si>
    <t>0151</t>
  </si>
  <si>
    <t>0155</t>
  </si>
  <si>
    <t>0160</t>
  </si>
  <si>
    <t>0161</t>
  </si>
  <si>
    <t>0163</t>
  </si>
  <si>
    <t>0698</t>
  </si>
  <si>
    <t>0170</t>
  </si>
  <si>
    <t>0492</t>
  </si>
  <si>
    <t>0469</t>
  </si>
  <si>
    <t>0174</t>
  </si>
  <si>
    <t>0176</t>
  </si>
  <si>
    <t>0177</t>
  </si>
  <si>
    <t>0710</t>
  </si>
  <si>
    <t>0181</t>
  </si>
  <si>
    <t>0182</t>
  </si>
  <si>
    <t>0185</t>
  </si>
  <si>
    <t>0186</t>
  </si>
  <si>
    <t>0717</t>
  </si>
  <si>
    <t>0191</t>
  </si>
  <si>
    <t>0715</t>
  </si>
  <si>
    <t>0199</t>
  </si>
  <si>
    <t>0201</t>
  </si>
  <si>
    <t>0207</t>
  </si>
  <si>
    <t>0209</t>
  </si>
  <si>
    <t>0211</t>
  </si>
  <si>
    <t>0735</t>
  </si>
  <si>
    <t>0217</t>
  </si>
  <si>
    <t>0213</t>
  </si>
  <si>
    <t>0214</t>
  </si>
  <si>
    <t>0218</t>
  </si>
  <si>
    <t>0223</t>
  </si>
  <si>
    <t>0227</t>
  </si>
  <si>
    <t>0229</t>
  </si>
  <si>
    <t>0236</t>
  </si>
  <si>
    <t>0778</t>
  </si>
  <si>
    <t>0243</t>
  </si>
  <si>
    <t>0244</t>
  </si>
  <si>
    <t>0246</t>
  </si>
  <si>
    <t>0248</t>
  </si>
  <si>
    <t>0258</t>
  </si>
  <si>
    <t>0264</t>
  </si>
  <si>
    <t>0271</t>
  </si>
  <si>
    <t>0276</t>
  </si>
  <si>
    <t>0767</t>
  </si>
  <si>
    <t>0281</t>
  </si>
  <si>
    <t>0284</t>
  </si>
  <si>
    <t>3505</t>
  </si>
  <si>
    <t>0498</t>
  </si>
  <si>
    <t>0775</t>
  </si>
  <si>
    <t>0305</t>
  </si>
  <si>
    <t>0307</t>
  </si>
  <si>
    <t>0308</t>
  </si>
  <si>
    <t>0310</t>
  </si>
  <si>
    <t>0323</t>
  </si>
  <si>
    <t>0331</t>
  </si>
  <si>
    <t>0335</t>
  </si>
  <si>
    <t>0336</t>
  </si>
  <si>
    <t>Add a 2 sentence description about the monies received. (??)</t>
  </si>
  <si>
    <t>https://view.officeapps.live.com/op/view.aspx?src=https%3A%2F%2Fwww.doe.mass.edu%2Ffinance%2Faccounting%2Feoy%2Fchartofaccounts.docx&amp;wdOrigin=BROWSELINK</t>
  </si>
  <si>
    <t>FY24 High Dosage Math Tutoring Program</t>
  </si>
  <si>
    <t>Licensed - Carnegie</t>
  </si>
  <si>
    <t>MIND</t>
  </si>
  <si>
    <t>IMAGINE LEARNING</t>
  </si>
  <si>
    <t>CATAPULT</t>
  </si>
  <si>
    <t>2330  Paraprofessional</t>
  </si>
  <si>
    <t>2330  Paraprofessional2</t>
  </si>
  <si>
    <t>2330  Paraprofessional3</t>
  </si>
  <si>
    <t>230 Paraprofessional3</t>
  </si>
  <si>
    <t>TOTAL Paraprofessional</t>
  </si>
  <si>
    <t>District Total</t>
  </si>
  <si>
    <t>*Distircts receiving funding through the FY24 Targeted Math Tutoring Program were provided tutoring to both 4th and 8th grade students with poor performance on previous MCAS. The high-dosage mathematics tutoring services refers to individual or small group tutoring for children in grades 4 and 8 focused on standards for Mathematics as identified in the 2017 Massachusetts Mathematics Curriculum Framework. These services are supplemental to regular instructional time and are delivered through a structured cohort-based model with a specific duration and dosage.</t>
  </si>
  <si>
    <t>Boston Renaissance</t>
  </si>
  <si>
    <t>Dudley-Charlton</t>
  </si>
  <si>
    <t>Manchester Essex</t>
  </si>
  <si>
    <t>Match Charter</t>
  </si>
  <si>
    <t>Quaboag</t>
  </si>
  <si>
    <t>Excel Academy Charter</t>
  </si>
  <si>
    <t>Christa McAuliffe Charter School</t>
  </si>
  <si>
    <t>KIPP Academy Lynn Charter</t>
  </si>
  <si>
    <t>KIPP Academy Boston Charter School</t>
  </si>
  <si>
    <t>Match Charter Public School</t>
  </si>
  <si>
    <t>Boston Renaissance Charter Public</t>
  </si>
  <si>
    <t>Martin Luther King, Jr. Charter School of Excellence</t>
  </si>
  <si>
    <t>Veritas Preparatory Charter School</t>
  </si>
  <si>
    <t>Baystate Academy Charter Public School</t>
  </si>
  <si>
    <t>UP Academy Charter School of Dorchester</t>
  </si>
  <si>
    <t>Argosy Collegiate Charter School</t>
  </si>
  <si>
    <t>Massachusetts Department of Elementary and Secondary Education</t>
  </si>
  <si>
    <t>FY24 Accelerating Mathematics Instruction for Students Program</t>
  </si>
  <si>
    <t>High Dosage Math Tutoring</t>
  </si>
  <si>
    <t xml:space="preserve">Mathematics Digital Supplement </t>
  </si>
  <si>
    <t xml:space="preserve">2455 Instructional Software and Other Instructional Materials* </t>
  </si>
  <si>
    <t>2356 Costs for Instructional Staff to Attend Professional Development*</t>
  </si>
  <si>
    <t>0635</t>
  </si>
  <si>
    <t>0293</t>
  </si>
  <si>
    <t>Central Berkshire</t>
  </si>
  <si>
    <t>Blackstone-Millville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</si>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</sst>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_([$$-409]* #,##0.00_);_([$$-409]* \(#,##0.00\);_([$$-409]* &quot;-&quot;??_);_(@_)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3" fillId="0" borderId="0" xfId="1"/>
    <xf numFmtId="0" fontId="1" fillId="2" borderId="0" xfId="0" applyFont="1" applyFill="1"/>
    <xf numFmtId="0" fontId="0" fillId="2" borderId="0" xfId="0" applyFill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Alignment="1">
      <alignment wrapText="1"/>
    </xf>
    <xf numFmtId="0" fontId="1" fillId="3" borderId="0" xfId="0" applyFont="1" applyFill="1"/>
    <xf numFmtId="164" fontId="1" fillId="3" borderId="0" xfId="0" applyNumberFormat="1" applyFont="1" applyFill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6" fillId="0" borderId="0" xfId="0" applyFont="1"/>
    <xf numFmtId="5" fontId="7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/>
    <xf numFmtId="49" fontId="7" fillId="0" borderId="0" xfId="0" applyNumberFormat="1" applyFont="1"/>
    <xf numFmtId="5" fontId="6" fillId="0" borderId="0" xfId="0" applyNumberFormat="1" applyFont="1"/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4"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fill>
        <patternFill patternType="solid">
          <fgColor indexed="64"/>
          <bgColor theme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6AC533-CAB4-4F12-9294-7942B1831015}" name="Table1" displayName="Table1" ref="B5:J62" totalsRowShown="0" headerRowDxfId="3">
  <autoFilter ref="B5:J62" xr:uid="{E96AC533-CAB4-4F12-9294-7942B1831015}"/>
  <sortState xmlns:xlrd2="http://schemas.microsoft.com/office/spreadsheetml/2017/richdata2" ref="B6:J62">
    <sortCondition ref="C5:C62"/>
  </sortState>
  <tableColumns count="9">
    <tableColumn id="1" xr3:uid="{6B4456C9-3C43-4A56-9789-370A9796E2B5}" name="OrgCode">
      <calculatedColumnFormula>VLOOKUP(C6,#REF!,2,TRUE)</calculatedColumnFormula>
    </tableColumn>
    <tableColumn id="2" xr3:uid="{59E144A7-0BB4-4496-9FE2-471F4DD1E301}" name="District"/>
    <tableColumn id="3" xr3:uid="{1C4AE0F6-7457-443A-B254-32FA164D4AE8}" name="2305 Classroom Teachers"/>
    <tableColumn id="6" xr3:uid="{477465CA-FD61-4E34-8B94-D340DD96F7CA}" name="2330  Paraprofessional"/>
    <tableColumn id="5" xr3:uid="{4A1BA193-EB5C-426C-BF4C-0BAA5D3AA344}" name="2330  Paraprofessional2"/>
    <tableColumn id="11" xr3:uid="{E51A130A-9A9C-4A05-859F-2D53CA580451}" name="2330  Paraprofessional3"/>
    <tableColumn id="8" xr3:uid="{17688446-8968-4700-9BDE-B013D0BEBDF7}" name="230 Paraprofessional3" dataDxfId="2"/>
    <tableColumn id="10" xr3:uid="{380A9D16-A956-426B-BC6E-2B4F211FE8E4}" name="TOTAL Paraprofessional" dataDxfId="1">
      <calculatedColumnFormula>SUM(Table1[[#This Row],[2330  Paraprofessional]:[2330  Paraprofessional3]])</calculatedColumnFormula>
    </tableColumn>
    <tableColumn id="4" xr3:uid="{1293607A-21F8-4BBA-9FC7-05A4520DAA0B}" name="District Total" dataDxfId="0">
      <calculatedColumnFormula>SUM(Table1[[#This Row],[2305 Classroom Teachers]:[230 Paraprofessional3]])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iew.officeapps.live.com/op/view.aspx?src=https%3A%2F%2Fwww.doe.mass.edu%2Ffinance%2Faccounting%2Feoy%2Fchartofaccounts.docx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70A56-6F37-4A34-AEF5-8F4F33BBB6E0}">
  <dimension ref="A1:H63"/>
  <sheetViews>
    <sheetView tabSelected="1" zoomScaleNormal="100" workbookViewId="0"/>
  </sheetViews>
  <sheetFormatPr defaultRowHeight="15" x14ac:dyDescent="0.25"/>
  <cols>
    <col min="2" max="2" width="40.140625" bestFit="1" customWidth="1"/>
    <col min="3" max="3" width="16" customWidth="1"/>
    <col min="4" max="4" width="14.42578125" bestFit="1" customWidth="1"/>
    <col min="5" max="5" width="12" customWidth="1"/>
    <col min="6" max="6" width="19.28515625" bestFit="1" customWidth="1"/>
    <col min="7" max="7" width="25.28515625" bestFit="1" customWidth="1"/>
    <col min="8" max="8" width="10.7109375" bestFit="1" customWidth="1"/>
  </cols>
  <sheetData>
    <row r="1" spans="1:8" s="12" customFormat="1" ht="23.25" x14ac:dyDescent="0.35">
      <c r="A1" s="18" t="s">
        <v>215</v>
      </c>
    </row>
    <row r="2" spans="1:8" s="12" customFormat="1" ht="18.75" x14ac:dyDescent="0.3">
      <c r="A2" s="19" t="s">
        <v>214</v>
      </c>
    </row>
    <row r="3" spans="1:8" s="12" customFormat="1" ht="15.75" x14ac:dyDescent="0.25">
      <c r="A3" s="20" t="s">
        <v>216</v>
      </c>
    </row>
    <row r="4" spans="1:8" s="14" customFormat="1" ht="12.75" x14ac:dyDescent="0.2">
      <c r="A4" s="21"/>
    </row>
    <row r="5" spans="1:8" s="14" customFormat="1" ht="12.75" x14ac:dyDescent="0.2"/>
    <row r="6" spans="1:8" s="14" customFormat="1" ht="38.25" x14ac:dyDescent="0.2">
      <c r="A6" s="15" t="s">
        <v>2</v>
      </c>
      <c r="B6" s="16" t="s">
        <v>3</v>
      </c>
      <c r="C6" s="13" t="s">
        <v>55</v>
      </c>
      <c r="D6" s="13" t="s">
        <v>56</v>
      </c>
      <c r="E6" s="13" t="s">
        <v>4</v>
      </c>
      <c r="F6" s="13"/>
      <c r="G6" s="13"/>
      <c r="H6" s="13"/>
    </row>
    <row r="7" spans="1:8" s="14" customFormat="1" ht="12.75" x14ac:dyDescent="0.2">
      <c r="A7" s="14" t="s">
        <v>99</v>
      </c>
      <c r="B7" s="14" t="s">
        <v>58</v>
      </c>
      <c r="C7" s="17">
        <v>0</v>
      </c>
      <c r="D7" s="17">
        <v>18144</v>
      </c>
      <c r="E7" s="17">
        <v>18144</v>
      </c>
      <c r="F7" s="17"/>
      <c r="G7" s="17"/>
      <c r="H7" s="17"/>
    </row>
    <row r="8" spans="1:8" s="14" customFormat="1" ht="12.75" x14ac:dyDescent="0.2">
      <c r="A8" s="14" t="s">
        <v>101</v>
      </c>
      <c r="B8" s="14" t="s">
        <v>10</v>
      </c>
      <c r="C8" s="17">
        <v>0</v>
      </c>
      <c r="D8" s="17">
        <v>118440</v>
      </c>
      <c r="E8" s="17">
        <v>118440</v>
      </c>
      <c r="F8" s="17"/>
      <c r="G8" s="17"/>
      <c r="H8" s="17"/>
    </row>
    <row r="9" spans="1:8" s="14" customFormat="1" ht="12.75" x14ac:dyDescent="0.2">
      <c r="A9" s="14" t="s">
        <v>103</v>
      </c>
      <c r="B9" s="14" t="s">
        <v>59</v>
      </c>
      <c r="C9" s="17">
        <v>0</v>
      </c>
      <c r="D9" s="17">
        <v>27216</v>
      </c>
      <c r="E9" s="17">
        <v>27216</v>
      </c>
      <c r="F9" s="17"/>
      <c r="G9" s="17"/>
      <c r="H9" s="17"/>
    </row>
    <row r="10" spans="1:8" s="14" customFormat="1" ht="12.75" x14ac:dyDescent="0.2">
      <c r="A10" s="14" t="s">
        <v>104</v>
      </c>
      <c r="B10" s="14" t="s">
        <v>60</v>
      </c>
      <c r="C10" s="17">
        <v>249797.5</v>
      </c>
      <c r="D10" s="17">
        <v>0</v>
      </c>
      <c r="E10" s="17">
        <v>249797.5</v>
      </c>
      <c r="F10" s="17"/>
      <c r="G10" s="17"/>
      <c r="H10" s="17"/>
    </row>
    <row r="11" spans="1:8" s="14" customFormat="1" ht="12.75" x14ac:dyDescent="0.2">
      <c r="A11" s="14" t="s">
        <v>111</v>
      </c>
      <c r="B11" s="14" t="s">
        <v>63</v>
      </c>
      <c r="C11" s="17">
        <v>0</v>
      </c>
      <c r="D11" s="17">
        <v>31752</v>
      </c>
      <c r="E11" s="17">
        <v>31752</v>
      </c>
      <c r="F11" s="17"/>
      <c r="G11" s="17"/>
      <c r="H11" s="17"/>
    </row>
    <row r="12" spans="1:8" s="14" customFormat="1" ht="12.75" x14ac:dyDescent="0.2">
      <c r="A12" s="14" t="s">
        <v>114</v>
      </c>
      <c r="B12" s="14" t="s">
        <v>65</v>
      </c>
      <c r="C12" s="17">
        <v>101568.75</v>
      </c>
      <c r="D12" s="17">
        <v>0</v>
      </c>
      <c r="E12" s="17">
        <v>101568.75</v>
      </c>
      <c r="F12" s="17"/>
      <c r="G12" s="17"/>
      <c r="H12" s="17"/>
    </row>
    <row r="13" spans="1:8" s="14" customFormat="1" ht="12.75" x14ac:dyDescent="0.2">
      <c r="A13" s="14" t="s">
        <v>115</v>
      </c>
      <c r="B13" s="14" t="s">
        <v>66</v>
      </c>
      <c r="C13" s="17">
        <v>40181.25</v>
      </c>
      <c r="D13" s="17">
        <v>0</v>
      </c>
      <c r="E13" s="17">
        <v>40181.25</v>
      </c>
      <c r="F13" s="17"/>
      <c r="G13" s="17"/>
      <c r="H13" s="17"/>
    </row>
    <row r="14" spans="1:8" s="14" customFormat="1" ht="12.75" x14ac:dyDescent="0.2">
      <c r="A14" s="14" t="s">
        <v>116</v>
      </c>
      <c r="B14" s="14" t="s">
        <v>67</v>
      </c>
      <c r="C14" s="17">
        <v>0</v>
      </c>
      <c r="D14" s="17">
        <v>25200</v>
      </c>
      <c r="E14" s="17">
        <v>25200</v>
      </c>
      <c r="F14" s="17"/>
      <c r="G14" s="17"/>
      <c r="H14" s="17"/>
    </row>
    <row r="15" spans="1:8" s="14" customFormat="1" ht="12.75" x14ac:dyDescent="0.2">
      <c r="A15" s="14" t="s">
        <v>120</v>
      </c>
      <c r="B15" s="14" t="s">
        <v>69</v>
      </c>
      <c r="C15" s="17">
        <v>0</v>
      </c>
      <c r="D15" s="17">
        <v>20160</v>
      </c>
      <c r="E15" s="17">
        <v>20160</v>
      </c>
      <c r="F15" s="17"/>
      <c r="G15" s="17"/>
      <c r="H15" s="17"/>
    </row>
    <row r="16" spans="1:8" s="14" customFormat="1" ht="12.75" x14ac:dyDescent="0.2">
      <c r="A16" s="14" t="s">
        <v>122</v>
      </c>
      <c r="B16" s="14" t="s">
        <v>18</v>
      </c>
      <c r="C16" s="17">
        <v>0</v>
      </c>
      <c r="D16" s="17">
        <v>49392</v>
      </c>
      <c r="E16" s="17">
        <v>49392</v>
      </c>
      <c r="F16" s="17"/>
      <c r="G16" s="17"/>
      <c r="H16" s="17"/>
    </row>
    <row r="17" spans="1:8" s="14" customFormat="1" ht="12.75" x14ac:dyDescent="0.2">
      <c r="A17" s="14" t="s">
        <v>123</v>
      </c>
      <c r="B17" s="14" t="s">
        <v>70</v>
      </c>
      <c r="C17" s="17">
        <v>12407.06</v>
      </c>
      <c r="D17" s="17">
        <v>0</v>
      </c>
      <c r="E17" s="17">
        <v>12407.06</v>
      </c>
      <c r="F17" s="17"/>
      <c r="G17" s="17"/>
      <c r="H17" s="17"/>
    </row>
    <row r="18" spans="1:8" s="14" customFormat="1" ht="12.75" x14ac:dyDescent="0.2">
      <c r="A18" s="14" t="s">
        <v>126</v>
      </c>
      <c r="B18" s="14" t="s">
        <v>73</v>
      </c>
      <c r="C18" s="17">
        <v>14456.25</v>
      </c>
      <c r="D18" s="17">
        <v>0</v>
      </c>
      <c r="E18" s="17">
        <v>14456.25</v>
      </c>
      <c r="F18" s="17"/>
      <c r="G18" s="17"/>
      <c r="H18" s="17"/>
    </row>
    <row r="19" spans="1:8" s="14" customFormat="1" ht="12.75" x14ac:dyDescent="0.2">
      <c r="A19" s="14" t="s">
        <v>128</v>
      </c>
      <c r="B19" s="14" t="s">
        <v>74</v>
      </c>
      <c r="C19" s="17">
        <v>8100</v>
      </c>
      <c r="D19" s="17">
        <v>0</v>
      </c>
      <c r="E19" s="17">
        <v>8100</v>
      </c>
      <c r="F19" s="17"/>
      <c r="G19" s="17"/>
      <c r="H19" s="17"/>
    </row>
    <row r="20" spans="1:8" s="14" customFormat="1" ht="12.75" x14ac:dyDescent="0.2">
      <c r="A20" s="14" t="s">
        <v>129</v>
      </c>
      <c r="B20" s="14" t="s">
        <v>20</v>
      </c>
      <c r="C20" s="17">
        <v>33750</v>
      </c>
      <c r="D20" s="17">
        <v>7056</v>
      </c>
      <c r="E20" s="17">
        <v>40806</v>
      </c>
      <c r="F20" s="17"/>
      <c r="G20" s="17"/>
      <c r="H20" s="17"/>
    </row>
    <row r="21" spans="1:8" s="14" customFormat="1" ht="12.75" x14ac:dyDescent="0.2">
      <c r="A21" s="14" t="s">
        <v>131</v>
      </c>
      <c r="B21" s="14" t="s">
        <v>75</v>
      </c>
      <c r="C21" s="17">
        <v>27995.63</v>
      </c>
      <c r="D21" s="17">
        <v>0</v>
      </c>
      <c r="E21" s="17">
        <v>27995.63</v>
      </c>
      <c r="F21" s="17"/>
      <c r="G21" s="17"/>
      <c r="H21" s="17"/>
    </row>
    <row r="22" spans="1:8" s="14" customFormat="1" ht="12.75" x14ac:dyDescent="0.2">
      <c r="A22" s="14" t="s">
        <v>133</v>
      </c>
      <c r="B22" s="14" t="s">
        <v>76</v>
      </c>
      <c r="C22" s="17">
        <v>0</v>
      </c>
      <c r="D22" s="17">
        <v>27997.200000000001</v>
      </c>
      <c r="E22" s="17">
        <v>27997.200000000001</v>
      </c>
      <c r="F22" s="17"/>
      <c r="G22" s="17"/>
      <c r="H22" s="17"/>
    </row>
    <row r="23" spans="1:8" s="14" customFormat="1" ht="12.75" x14ac:dyDescent="0.2">
      <c r="A23" s="14" t="s">
        <v>136</v>
      </c>
      <c r="B23" s="14" t="s">
        <v>78</v>
      </c>
      <c r="C23" s="17">
        <v>0</v>
      </c>
      <c r="D23" s="17">
        <v>12600</v>
      </c>
      <c r="E23" s="17">
        <v>12600</v>
      </c>
      <c r="F23" s="17"/>
      <c r="G23" s="17"/>
      <c r="H23" s="17"/>
    </row>
    <row r="24" spans="1:8" s="14" customFormat="1" ht="12.75" x14ac:dyDescent="0.2">
      <c r="A24" s="14" t="s">
        <v>138</v>
      </c>
      <c r="B24" s="14" t="s">
        <v>79</v>
      </c>
      <c r="C24" s="17">
        <v>0</v>
      </c>
      <c r="D24" s="17">
        <v>9072</v>
      </c>
      <c r="E24" s="17">
        <v>9072</v>
      </c>
      <c r="F24" s="17"/>
      <c r="G24" s="17"/>
      <c r="H24" s="17"/>
    </row>
    <row r="25" spans="1:8" s="14" customFormat="1" ht="12.75" x14ac:dyDescent="0.2">
      <c r="A25" s="14" t="s">
        <v>140</v>
      </c>
      <c r="B25" s="14" t="s">
        <v>80</v>
      </c>
      <c r="C25" s="17">
        <v>0</v>
      </c>
      <c r="D25" s="17">
        <v>38472</v>
      </c>
      <c r="E25" s="17">
        <v>38472</v>
      </c>
      <c r="F25" s="17"/>
      <c r="G25" s="17"/>
      <c r="H25" s="17"/>
    </row>
    <row r="26" spans="1:8" s="14" customFormat="1" ht="12.75" x14ac:dyDescent="0.2">
      <c r="A26" s="14" t="s">
        <v>145</v>
      </c>
      <c r="B26" s="14" t="s">
        <v>27</v>
      </c>
      <c r="C26" s="17">
        <v>35090.04</v>
      </c>
      <c r="D26" s="17">
        <v>0</v>
      </c>
      <c r="E26" s="17">
        <v>35090.04</v>
      </c>
      <c r="F26" s="17"/>
      <c r="G26" s="17"/>
      <c r="H26" s="17"/>
    </row>
    <row r="27" spans="1:8" s="14" customFormat="1" ht="12.75" x14ac:dyDescent="0.2">
      <c r="A27" s="14" t="s">
        <v>148</v>
      </c>
      <c r="B27" s="14" t="s">
        <v>82</v>
      </c>
      <c r="C27" s="17">
        <v>0</v>
      </c>
      <c r="D27" s="17">
        <v>88200</v>
      </c>
      <c r="E27" s="17">
        <v>88200</v>
      </c>
      <c r="F27" s="17"/>
      <c r="G27" s="17"/>
      <c r="H27" s="17"/>
    </row>
    <row r="28" spans="1:8" s="14" customFormat="1" ht="12.75" x14ac:dyDescent="0.2">
      <c r="A28" s="14" t="s">
        <v>150</v>
      </c>
      <c r="B28" s="14" t="s">
        <v>31</v>
      </c>
      <c r="C28" s="17">
        <v>12356.25</v>
      </c>
      <c r="D28" s="17">
        <v>0</v>
      </c>
      <c r="E28" s="17">
        <v>12356.25</v>
      </c>
      <c r="F28" s="17"/>
      <c r="G28" s="17"/>
      <c r="H28" s="17"/>
    </row>
    <row r="29" spans="1:8" s="14" customFormat="1" ht="12.75" x14ac:dyDescent="0.2">
      <c r="A29" s="14" t="s">
        <v>151</v>
      </c>
      <c r="B29" s="14" t="s">
        <v>32</v>
      </c>
      <c r="C29" s="17">
        <v>0</v>
      </c>
      <c r="D29" s="17">
        <v>18144</v>
      </c>
      <c r="E29" s="17">
        <v>18144</v>
      </c>
      <c r="F29" s="17"/>
      <c r="G29" s="17"/>
      <c r="H29" s="17"/>
    </row>
    <row r="30" spans="1:8" s="14" customFormat="1" ht="12.75" x14ac:dyDescent="0.2">
      <c r="A30" s="14" t="s">
        <v>153</v>
      </c>
      <c r="B30" s="14" t="s">
        <v>84</v>
      </c>
      <c r="C30" s="17">
        <v>18843.510000000002</v>
      </c>
      <c r="D30" s="17">
        <v>0</v>
      </c>
      <c r="E30" s="17">
        <v>18843.510000000002</v>
      </c>
      <c r="F30" s="17"/>
      <c r="G30" s="17"/>
      <c r="H30" s="17"/>
    </row>
    <row r="31" spans="1:8" s="14" customFormat="1" ht="12.75" x14ac:dyDescent="0.2">
      <c r="A31" s="14" t="s">
        <v>157</v>
      </c>
      <c r="B31" s="14" t="s">
        <v>85</v>
      </c>
      <c r="C31" s="17">
        <v>0</v>
      </c>
      <c r="D31" s="17">
        <v>17280</v>
      </c>
      <c r="E31" s="17">
        <v>17280</v>
      </c>
      <c r="F31" s="17"/>
      <c r="G31" s="17"/>
      <c r="H31" s="17"/>
    </row>
    <row r="32" spans="1:8" s="14" customFormat="1" ht="12.75" x14ac:dyDescent="0.2">
      <c r="A32" s="14" t="s">
        <v>158</v>
      </c>
      <c r="B32" s="14" t="s">
        <v>86</v>
      </c>
      <c r="C32" s="17">
        <v>0</v>
      </c>
      <c r="D32" s="17">
        <v>11498.85</v>
      </c>
      <c r="E32" s="17">
        <v>11498.85</v>
      </c>
      <c r="F32" s="17"/>
      <c r="G32" s="17"/>
      <c r="H32" s="17"/>
    </row>
    <row r="33" spans="1:8" s="14" customFormat="1" ht="12.75" x14ac:dyDescent="0.2">
      <c r="A33" s="14" t="s">
        <v>159</v>
      </c>
      <c r="B33" s="14" t="s">
        <v>36</v>
      </c>
      <c r="C33" s="17">
        <v>0</v>
      </c>
      <c r="D33" s="17">
        <v>54994.5</v>
      </c>
      <c r="E33" s="17">
        <v>54994.5</v>
      </c>
      <c r="F33" s="17"/>
      <c r="G33" s="17"/>
      <c r="H33" s="17"/>
    </row>
    <row r="34" spans="1:8" s="14" customFormat="1" ht="12.75" x14ac:dyDescent="0.2">
      <c r="A34" s="14" t="s">
        <v>160</v>
      </c>
      <c r="B34" s="14" t="s">
        <v>37</v>
      </c>
      <c r="C34" s="17">
        <v>0</v>
      </c>
      <c r="D34" s="17">
        <v>19656</v>
      </c>
      <c r="E34" s="17">
        <v>19656</v>
      </c>
      <c r="F34" s="17"/>
      <c r="G34" s="17"/>
      <c r="H34" s="17"/>
    </row>
    <row r="35" spans="1:8" s="14" customFormat="1" ht="12.75" x14ac:dyDescent="0.2">
      <c r="A35" s="14" t="s">
        <v>163</v>
      </c>
      <c r="B35" s="14" t="s">
        <v>39</v>
      </c>
      <c r="C35" s="17">
        <v>0</v>
      </c>
      <c r="D35" s="17">
        <v>103752</v>
      </c>
      <c r="E35" s="17">
        <v>103752</v>
      </c>
      <c r="F35" s="17"/>
      <c r="G35" s="17"/>
      <c r="H35" s="17"/>
    </row>
    <row r="36" spans="1:8" s="14" customFormat="1" ht="12.75" x14ac:dyDescent="0.2">
      <c r="A36" s="14" t="s">
        <v>164</v>
      </c>
      <c r="B36" s="14" t="s">
        <v>87</v>
      </c>
      <c r="C36" s="17">
        <v>31481.25</v>
      </c>
      <c r="D36" s="17">
        <v>5999.4</v>
      </c>
      <c r="E36" s="17">
        <v>37480.65</v>
      </c>
      <c r="F36" s="17"/>
      <c r="G36" s="17"/>
      <c r="H36" s="17"/>
    </row>
    <row r="37" spans="1:8" s="14" customFormat="1" ht="12.75" x14ac:dyDescent="0.2">
      <c r="A37" s="14" t="s">
        <v>166</v>
      </c>
      <c r="B37" s="14" t="s">
        <v>88</v>
      </c>
      <c r="C37" s="17">
        <v>0</v>
      </c>
      <c r="D37" s="17">
        <v>79992</v>
      </c>
      <c r="E37" s="17">
        <v>79992</v>
      </c>
      <c r="F37" s="17"/>
      <c r="G37" s="17"/>
      <c r="H37" s="17"/>
    </row>
    <row r="38" spans="1:8" s="14" customFormat="1" ht="12.75" x14ac:dyDescent="0.2">
      <c r="A38" s="14" t="s">
        <v>167</v>
      </c>
      <c r="B38" s="14" t="s">
        <v>41</v>
      </c>
      <c r="C38" s="17">
        <v>12056.25</v>
      </c>
      <c r="D38" s="17">
        <v>0</v>
      </c>
      <c r="E38" s="17">
        <v>12056.25</v>
      </c>
      <c r="F38" s="17"/>
      <c r="G38" s="17"/>
      <c r="H38" s="17"/>
    </row>
    <row r="39" spans="1:8" s="14" customFormat="1" ht="12.75" x14ac:dyDescent="0.2">
      <c r="A39" s="14" t="s">
        <v>171</v>
      </c>
      <c r="B39" s="14" t="s">
        <v>90</v>
      </c>
      <c r="C39" s="17">
        <v>0</v>
      </c>
      <c r="D39" s="17">
        <v>198231.22</v>
      </c>
      <c r="E39" s="17">
        <v>198231.22</v>
      </c>
      <c r="F39" s="17"/>
      <c r="G39" s="17"/>
      <c r="H39" s="17"/>
    </row>
    <row r="40" spans="1:8" s="14" customFormat="1" ht="12.75" x14ac:dyDescent="0.2">
      <c r="A40" s="14" t="s">
        <v>221</v>
      </c>
      <c r="B40" s="14" t="s">
        <v>45</v>
      </c>
      <c r="C40" s="17">
        <v>6431.25</v>
      </c>
      <c r="D40" s="17">
        <v>0</v>
      </c>
      <c r="E40" s="17">
        <v>6431.25</v>
      </c>
      <c r="F40" s="17"/>
      <c r="G40" s="17"/>
      <c r="H40" s="17"/>
    </row>
    <row r="41" spans="1:8" s="14" customFormat="1" ht="12.75" x14ac:dyDescent="0.2">
      <c r="A41" s="14" t="s">
        <v>113</v>
      </c>
      <c r="B41" s="14" t="s">
        <v>203</v>
      </c>
      <c r="C41" s="17">
        <v>0</v>
      </c>
      <c r="D41" s="17">
        <v>18144</v>
      </c>
      <c r="E41" s="17">
        <v>18144</v>
      </c>
      <c r="F41" s="17"/>
      <c r="G41" s="17"/>
      <c r="H41" s="17"/>
    </row>
    <row r="42" spans="1:8" s="14" customFormat="1" ht="12.75" x14ac:dyDescent="0.2">
      <c r="A42" s="14" t="s">
        <v>105</v>
      </c>
      <c r="B42" s="14" t="s">
        <v>204</v>
      </c>
      <c r="C42" s="17">
        <v>7237.5</v>
      </c>
      <c r="D42" s="17">
        <v>0</v>
      </c>
      <c r="E42" s="17">
        <v>7237.5</v>
      </c>
      <c r="F42" s="17"/>
      <c r="G42" s="17"/>
      <c r="H42" s="17"/>
    </row>
    <row r="43" spans="1:8" s="14" customFormat="1" ht="12.75" x14ac:dyDescent="0.2">
      <c r="A43" s="14" t="s">
        <v>125</v>
      </c>
      <c r="B43" s="14" t="s">
        <v>205</v>
      </c>
      <c r="C43" s="17">
        <v>0</v>
      </c>
      <c r="D43" s="17">
        <v>21208</v>
      </c>
      <c r="E43" s="17">
        <v>21208</v>
      </c>
      <c r="F43" s="17"/>
      <c r="G43" s="17"/>
      <c r="H43" s="17"/>
    </row>
    <row r="44" spans="1:8" s="14" customFormat="1" ht="12.75" x14ac:dyDescent="0.2">
      <c r="A44" s="14" t="s">
        <v>124</v>
      </c>
      <c r="B44" s="14" t="s">
        <v>206</v>
      </c>
      <c r="C44" s="17">
        <v>0</v>
      </c>
      <c r="D44" s="17">
        <v>21740</v>
      </c>
      <c r="E44" s="17">
        <v>21740</v>
      </c>
      <c r="F44" s="17"/>
      <c r="G44" s="17"/>
      <c r="H44" s="17"/>
    </row>
    <row r="45" spans="1:8" s="14" customFormat="1" ht="12.75" x14ac:dyDescent="0.2">
      <c r="A45" s="14" t="s">
        <v>135</v>
      </c>
      <c r="B45" s="14" t="s">
        <v>207</v>
      </c>
      <c r="C45" s="17">
        <v>16200</v>
      </c>
      <c r="D45" s="17">
        <v>0</v>
      </c>
      <c r="E45" s="17">
        <v>16200</v>
      </c>
      <c r="F45" s="17"/>
      <c r="G45" s="17"/>
      <c r="H45" s="17"/>
    </row>
    <row r="46" spans="1:8" s="14" customFormat="1" ht="12.75" x14ac:dyDescent="0.2">
      <c r="A46" s="14" t="s">
        <v>102</v>
      </c>
      <c r="B46" s="14" t="s">
        <v>208</v>
      </c>
      <c r="C46" s="17">
        <v>0</v>
      </c>
      <c r="D46" s="17">
        <v>8640</v>
      </c>
      <c r="E46" s="17">
        <v>8640</v>
      </c>
      <c r="F46" s="17"/>
      <c r="G46" s="17"/>
      <c r="H46" s="17"/>
    </row>
    <row r="47" spans="1:8" s="14" customFormat="1" ht="12.75" x14ac:dyDescent="0.2">
      <c r="A47" s="14" t="s">
        <v>134</v>
      </c>
      <c r="B47" s="14" t="s">
        <v>209</v>
      </c>
      <c r="C47" s="17">
        <v>0</v>
      </c>
      <c r="D47" s="17">
        <v>12600</v>
      </c>
      <c r="E47" s="17">
        <v>12600</v>
      </c>
      <c r="F47" s="17"/>
      <c r="G47" s="17"/>
      <c r="H47" s="17"/>
    </row>
    <row r="48" spans="1:8" s="14" customFormat="1" ht="12.75" x14ac:dyDescent="0.2">
      <c r="A48" s="14" t="s">
        <v>174</v>
      </c>
      <c r="B48" s="14" t="s">
        <v>210</v>
      </c>
      <c r="C48" s="17">
        <v>0</v>
      </c>
      <c r="D48" s="17">
        <v>12096</v>
      </c>
      <c r="E48" s="17">
        <v>12096</v>
      </c>
      <c r="F48" s="17"/>
      <c r="G48" s="17"/>
      <c r="H48" s="17"/>
    </row>
    <row r="49" spans="1:8" s="14" customFormat="1" ht="12.75" x14ac:dyDescent="0.2">
      <c r="A49" s="14" t="s">
        <v>100</v>
      </c>
      <c r="B49" s="14" t="s">
        <v>223</v>
      </c>
      <c r="C49" s="17">
        <v>30712.510000000002</v>
      </c>
      <c r="D49" s="17">
        <v>0</v>
      </c>
      <c r="E49" s="17">
        <v>30712.510000000002</v>
      </c>
      <c r="F49" s="17"/>
      <c r="G49" s="17"/>
      <c r="H49" s="17"/>
    </row>
    <row r="50" spans="1:8" s="14" customFormat="1" ht="12.75" x14ac:dyDescent="0.2">
      <c r="A50" s="14" t="s">
        <v>220</v>
      </c>
      <c r="B50" s="14" t="s">
        <v>222</v>
      </c>
      <c r="C50" s="17">
        <v>0</v>
      </c>
      <c r="D50" s="17">
        <v>12096</v>
      </c>
      <c r="E50" s="17">
        <v>12096</v>
      </c>
      <c r="F50" s="17"/>
      <c r="G50" s="17"/>
      <c r="H50" s="17"/>
    </row>
    <row r="51" spans="1:8" s="14" customFormat="1" ht="12.75" x14ac:dyDescent="0.2">
      <c r="A51" s="14" t="s">
        <v>112</v>
      </c>
      <c r="B51" s="14" t="s">
        <v>199</v>
      </c>
      <c r="C51" s="17">
        <v>16200</v>
      </c>
      <c r="D51" s="17">
        <v>0</v>
      </c>
      <c r="E51" s="17">
        <v>16200</v>
      </c>
      <c r="F51" s="17"/>
      <c r="G51" s="17"/>
      <c r="H51" s="17"/>
    </row>
    <row r="52" spans="1:8" s="14" customFormat="1" ht="12.75" x14ac:dyDescent="0.2">
      <c r="A52" s="14" t="s">
        <v>119</v>
      </c>
      <c r="B52" s="14" t="s">
        <v>118</v>
      </c>
      <c r="C52" s="17">
        <v>0</v>
      </c>
      <c r="D52" s="17">
        <v>4032</v>
      </c>
      <c r="E52" s="17">
        <v>4032</v>
      </c>
      <c r="F52" s="17"/>
      <c r="G52" s="17"/>
      <c r="H52" s="17"/>
    </row>
    <row r="53" spans="1:8" s="14" customFormat="1" ht="12.75" x14ac:dyDescent="0.2">
      <c r="A53" s="14" t="s">
        <v>132</v>
      </c>
      <c r="B53" s="14" t="s">
        <v>200</v>
      </c>
      <c r="C53" s="17">
        <v>0</v>
      </c>
      <c r="D53" s="17">
        <v>20160</v>
      </c>
      <c r="E53" s="17">
        <v>20160</v>
      </c>
      <c r="F53" s="17"/>
      <c r="G53" s="17"/>
      <c r="H53" s="17"/>
    </row>
    <row r="54" spans="1:8" s="14" customFormat="1" ht="12.75" x14ac:dyDescent="0.2">
      <c r="A54" s="14" t="s">
        <v>139</v>
      </c>
      <c r="B54" s="14" t="s">
        <v>23</v>
      </c>
      <c r="C54" s="17">
        <v>14878.130000000001</v>
      </c>
      <c r="D54" s="17">
        <v>0</v>
      </c>
      <c r="E54" s="17">
        <v>14878.130000000001</v>
      </c>
      <c r="F54" s="17"/>
      <c r="G54" s="17"/>
      <c r="H54" s="17"/>
    </row>
    <row r="55" spans="1:8" s="14" customFormat="1" ht="12.75" x14ac:dyDescent="0.2">
      <c r="A55" s="14" t="s">
        <v>144</v>
      </c>
      <c r="B55" s="14" t="s">
        <v>81</v>
      </c>
      <c r="C55" s="17">
        <v>0</v>
      </c>
      <c r="D55" s="17">
        <v>7499.25</v>
      </c>
      <c r="E55" s="17">
        <v>7499.25</v>
      </c>
      <c r="F55" s="17"/>
      <c r="G55" s="17"/>
      <c r="H55" s="17"/>
    </row>
    <row r="56" spans="1:8" s="14" customFormat="1" ht="12.75" x14ac:dyDescent="0.2">
      <c r="A56" s="14" t="s">
        <v>152</v>
      </c>
      <c r="B56" s="14" t="s">
        <v>83</v>
      </c>
      <c r="C56" s="17">
        <v>0</v>
      </c>
      <c r="D56" s="17">
        <v>37800</v>
      </c>
      <c r="E56" s="17">
        <v>37800</v>
      </c>
      <c r="F56" s="17"/>
      <c r="G56" s="17"/>
      <c r="H56" s="17"/>
    </row>
    <row r="57" spans="1:8" s="14" customFormat="1" ht="12.75" x14ac:dyDescent="0.2">
      <c r="A57" s="14" t="s">
        <v>170</v>
      </c>
      <c r="B57" s="14" t="s">
        <v>89</v>
      </c>
      <c r="C57" s="17">
        <v>25631.25</v>
      </c>
      <c r="D57" s="17">
        <v>0</v>
      </c>
      <c r="E57" s="17">
        <v>25631.25</v>
      </c>
      <c r="F57" s="17"/>
      <c r="G57" s="17"/>
      <c r="H57" s="17"/>
    </row>
    <row r="58" spans="1:8" s="14" customFormat="1" ht="12.75" x14ac:dyDescent="0.2">
      <c r="A58" s="14" t="s">
        <v>175</v>
      </c>
      <c r="B58" s="14" t="s">
        <v>46</v>
      </c>
      <c r="C58" s="17">
        <v>0</v>
      </c>
      <c r="D58" s="17">
        <v>58464</v>
      </c>
      <c r="E58" s="17">
        <v>58464</v>
      </c>
      <c r="F58" s="17"/>
      <c r="G58" s="17"/>
      <c r="H58" s="17"/>
    </row>
    <row r="59" spans="1:8" s="14" customFormat="1" ht="12.75" x14ac:dyDescent="0.2">
      <c r="A59" s="14" t="s">
        <v>161</v>
      </c>
      <c r="B59" s="14" t="s">
        <v>202</v>
      </c>
      <c r="C59" s="17">
        <v>8550</v>
      </c>
      <c r="D59" s="17">
        <v>0</v>
      </c>
      <c r="E59" s="17">
        <v>8550</v>
      </c>
      <c r="F59" s="17"/>
      <c r="G59" s="17"/>
      <c r="H59" s="17"/>
    </row>
    <row r="60" spans="1:8" s="14" customFormat="1" ht="12.75" x14ac:dyDescent="0.2">
      <c r="A60" s="14" t="s">
        <v>97</v>
      </c>
      <c r="B60" s="14" t="s">
        <v>211</v>
      </c>
      <c r="C60" s="17">
        <v>0</v>
      </c>
      <c r="D60" s="17">
        <v>8640</v>
      </c>
      <c r="E60" s="17">
        <v>8640</v>
      </c>
      <c r="F60" s="17"/>
      <c r="G60" s="17"/>
      <c r="H60" s="17"/>
    </row>
    <row r="61" spans="1:8" s="14" customFormat="1" ht="12.75" x14ac:dyDescent="0.2">
      <c r="A61" s="14" t="s">
        <v>173</v>
      </c>
      <c r="B61" s="14" t="s">
        <v>212</v>
      </c>
      <c r="C61" s="17">
        <v>0</v>
      </c>
      <c r="D61" s="17">
        <v>12600</v>
      </c>
      <c r="E61" s="17">
        <v>12600</v>
      </c>
      <c r="F61" s="17"/>
      <c r="G61" s="17"/>
      <c r="H61" s="17"/>
    </row>
    <row r="62" spans="1:8" x14ac:dyDescent="0.25">
      <c r="B62" s="16" t="s">
        <v>224</v>
      </c>
      <c r="C62" s="22">
        <f>SUM(C7:C61)</f>
        <v>723924.38</v>
      </c>
      <c r="D62" s="22">
        <f t="shared" ref="D62:E62" si="0">SUM(D7:D61)</f>
        <v>1238968.42</v>
      </c>
      <c r="E62" s="22">
        <f t="shared" si="0"/>
        <v>1962892.7999999998</v>
      </c>
    </row>
    <row r="63" spans="1:8" x14ac:dyDescent="0.25">
      <c r="E63" s="14"/>
      <c r="H63" s="14"/>
    </row>
  </sheetData>
  <sortState xmlns:xlrd2="http://schemas.microsoft.com/office/spreadsheetml/2017/richdata2" ref="A7:E61">
    <sortCondition ref="A7:A61"/>
  </sortState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FF993-3539-42F8-AF05-3987B95040A5}">
  <dimension ref="A1:E60"/>
  <sheetViews>
    <sheetView zoomScaleNormal="100" workbookViewId="0"/>
  </sheetViews>
  <sheetFormatPr defaultRowHeight="15" x14ac:dyDescent="0.25"/>
  <cols>
    <col min="2" max="2" width="40.140625" bestFit="1" customWidth="1"/>
    <col min="3" max="3" width="20.140625" bestFit="1" customWidth="1"/>
    <col min="4" max="4" width="26" bestFit="1" customWidth="1"/>
    <col min="5" max="5" width="16.140625" bestFit="1" customWidth="1"/>
  </cols>
  <sheetData>
    <row r="1" spans="1:5" s="12" customFormat="1" ht="23.25" x14ac:dyDescent="0.35">
      <c r="A1" s="18" t="s">
        <v>215</v>
      </c>
    </row>
    <row r="2" spans="1:5" s="12" customFormat="1" ht="18.75" x14ac:dyDescent="0.3">
      <c r="A2" s="19" t="s">
        <v>214</v>
      </c>
    </row>
    <row r="3" spans="1:5" s="12" customFormat="1" ht="15.75" x14ac:dyDescent="0.25">
      <c r="A3" s="20" t="s">
        <v>217</v>
      </c>
    </row>
    <row r="4" spans="1:5" s="14" customFormat="1" ht="12.75" x14ac:dyDescent="0.2">
      <c r="A4" s="21"/>
    </row>
    <row r="5" spans="1:5" s="14" customFormat="1" ht="12.75" x14ac:dyDescent="0.2"/>
    <row r="6" spans="1:5" s="12" customFormat="1" x14ac:dyDescent="0.25">
      <c r="C6" s="14" t="s">
        <v>0</v>
      </c>
      <c r="D6" s="14" t="s">
        <v>1</v>
      </c>
      <c r="E6" s="14"/>
    </row>
    <row r="7" spans="1:5" s="12" customFormat="1" ht="39" x14ac:dyDescent="0.25">
      <c r="A7" s="15" t="s">
        <v>2</v>
      </c>
      <c r="B7" s="16" t="s">
        <v>3</v>
      </c>
      <c r="C7" s="13" t="s">
        <v>218</v>
      </c>
      <c r="D7" s="13" t="s">
        <v>219</v>
      </c>
      <c r="E7" s="13" t="s">
        <v>4</v>
      </c>
    </row>
    <row r="8" spans="1:5" s="12" customFormat="1" x14ac:dyDescent="0.25">
      <c r="A8" s="14" t="s">
        <v>96</v>
      </c>
      <c r="B8" s="14" t="s">
        <v>7</v>
      </c>
      <c r="C8" s="17">
        <v>5538</v>
      </c>
      <c r="D8" s="17">
        <v>0</v>
      </c>
      <c r="E8" s="17">
        <v>5538</v>
      </c>
    </row>
    <row r="9" spans="1:5" s="12" customFormat="1" x14ac:dyDescent="0.25">
      <c r="A9" s="14" t="s">
        <v>98</v>
      </c>
      <c r="B9" s="14" t="s">
        <v>8</v>
      </c>
      <c r="C9" s="17">
        <v>2470</v>
      </c>
      <c r="D9" s="17">
        <v>1500</v>
      </c>
      <c r="E9" s="17">
        <v>3970</v>
      </c>
    </row>
    <row r="10" spans="1:5" s="12" customFormat="1" x14ac:dyDescent="0.25">
      <c r="A10" s="14" t="s">
        <v>101</v>
      </c>
      <c r="B10" s="14" t="s">
        <v>10</v>
      </c>
      <c r="C10" s="17">
        <v>39516</v>
      </c>
      <c r="D10" s="17">
        <v>13446</v>
      </c>
      <c r="E10" s="17">
        <v>52962</v>
      </c>
    </row>
    <row r="11" spans="1:5" s="12" customFormat="1" x14ac:dyDescent="0.25">
      <c r="A11" s="14" t="s">
        <v>106</v>
      </c>
      <c r="B11" s="14" t="s">
        <v>11</v>
      </c>
      <c r="C11" s="17">
        <v>1976</v>
      </c>
      <c r="D11" s="17">
        <v>0</v>
      </c>
      <c r="E11" s="17">
        <v>1976</v>
      </c>
    </row>
    <row r="12" spans="1:5" s="12" customFormat="1" x14ac:dyDescent="0.25">
      <c r="A12" s="14" t="s">
        <v>107</v>
      </c>
      <c r="B12" s="14" t="s">
        <v>12</v>
      </c>
      <c r="C12" s="17">
        <v>3406</v>
      </c>
      <c r="D12" s="17">
        <v>0</v>
      </c>
      <c r="E12" s="17">
        <v>3406</v>
      </c>
    </row>
    <row r="13" spans="1:5" x14ac:dyDescent="0.25">
      <c r="A13" s="14" t="s">
        <v>108</v>
      </c>
      <c r="B13" s="14" t="s">
        <v>13</v>
      </c>
      <c r="C13" s="17">
        <v>3640</v>
      </c>
      <c r="D13" s="17">
        <v>1500</v>
      </c>
      <c r="E13" s="17">
        <v>5140</v>
      </c>
    </row>
    <row r="14" spans="1:5" x14ac:dyDescent="0.25">
      <c r="A14" s="14" t="s">
        <v>110</v>
      </c>
      <c r="B14" s="14" t="s">
        <v>15</v>
      </c>
      <c r="C14" s="17">
        <v>1326</v>
      </c>
      <c r="D14" s="17">
        <v>0</v>
      </c>
      <c r="E14" s="17">
        <v>1326</v>
      </c>
    </row>
    <row r="15" spans="1:5" x14ac:dyDescent="0.25">
      <c r="A15" s="14" t="s">
        <v>117</v>
      </c>
      <c r="B15" s="14" t="s">
        <v>16</v>
      </c>
      <c r="C15" s="17">
        <v>3198</v>
      </c>
      <c r="D15" s="17">
        <v>0</v>
      </c>
      <c r="E15" s="17">
        <v>3198</v>
      </c>
    </row>
    <row r="16" spans="1:5" x14ac:dyDescent="0.25">
      <c r="A16" s="14" t="s">
        <v>121</v>
      </c>
      <c r="B16" s="14" t="s">
        <v>17</v>
      </c>
      <c r="C16" s="17">
        <v>7956</v>
      </c>
      <c r="D16" s="17">
        <v>0</v>
      </c>
      <c r="E16" s="17">
        <v>7956</v>
      </c>
    </row>
    <row r="17" spans="1:5" x14ac:dyDescent="0.25">
      <c r="A17" s="14" t="s">
        <v>122</v>
      </c>
      <c r="B17" s="14" t="s">
        <v>18</v>
      </c>
      <c r="C17" s="17">
        <v>8658</v>
      </c>
      <c r="D17" s="17">
        <v>1500</v>
      </c>
      <c r="E17" s="17">
        <v>10158</v>
      </c>
    </row>
    <row r="18" spans="1:5" x14ac:dyDescent="0.25">
      <c r="A18" s="14" t="s">
        <v>127</v>
      </c>
      <c r="B18" s="14" t="s">
        <v>19</v>
      </c>
      <c r="C18" s="17">
        <v>1300</v>
      </c>
      <c r="D18" s="17">
        <v>0</v>
      </c>
      <c r="E18" s="17">
        <v>1300</v>
      </c>
    </row>
    <row r="19" spans="1:5" x14ac:dyDescent="0.25">
      <c r="A19" s="14" t="s">
        <v>129</v>
      </c>
      <c r="B19" s="14" t="s">
        <v>20</v>
      </c>
      <c r="C19" s="17">
        <v>15678</v>
      </c>
      <c r="D19" s="17">
        <v>0</v>
      </c>
      <c r="E19" s="17">
        <v>15678</v>
      </c>
    </row>
    <row r="20" spans="1:5" x14ac:dyDescent="0.25">
      <c r="A20" s="14" t="s">
        <v>130</v>
      </c>
      <c r="B20" s="14" t="s">
        <v>21</v>
      </c>
      <c r="C20" s="17">
        <v>2158</v>
      </c>
      <c r="D20" s="17">
        <v>0</v>
      </c>
      <c r="E20" s="17">
        <v>2158</v>
      </c>
    </row>
    <row r="21" spans="1:5" x14ac:dyDescent="0.25">
      <c r="A21" s="14" t="s">
        <v>137</v>
      </c>
      <c r="B21" s="14" t="s">
        <v>22</v>
      </c>
      <c r="C21" s="17">
        <v>11060</v>
      </c>
      <c r="D21" s="17">
        <v>0</v>
      </c>
      <c r="E21" s="17">
        <v>11060</v>
      </c>
    </row>
    <row r="22" spans="1:5" x14ac:dyDescent="0.25">
      <c r="A22" s="14" t="s">
        <v>141</v>
      </c>
      <c r="B22" s="14" t="s">
        <v>24</v>
      </c>
      <c r="C22" s="17">
        <v>3198</v>
      </c>
      <c r="D22" s="17">
        <v>0</v>
      </c>
      <c r="E22" s="17">
        <v>3198</v>
      </c>
    </row>
    <row r="23" spans="1:5" x14ac:dyDescent="0.25">
      <c r="A23" s="14" t="s">
        <v>142</v>
      </c>
      <c r="B23" s="14" t="s">
        <v>25</v>
      </c>
      <c r="C23" s="17">
        <v>4082</v>
      </c>
      <c r="D23" s="17">
        <v>0</v>
      </c>
      <c r="E23" s="17">
        <v>4082</v>
      </c>
    </row>
    <row r="24" spans="1:5" x14ac:dyDescent="0.25">
      <c r="A24" s="14" t="s">
        <v>143</v>
      </c>
      <c r="B24" s="14" t="s">
        <v>26</v>
      </c>
      <c r="C24" s="17">
        <v>1612</v>
      </c>
      <c r="D24" s="17">
        <v>0</v>
      </c>
      <c r="E24" s="17">
        <v>1612</v>
      </c>
    </row>
    <row r="25" spans="1:5" x14ac:dyDescent="0.25">
      <c r="A25" s="14" t="s">
        <v>145</v>
      </c>
      <c r="B25" s="14" t="s">
        <v>27</v>
      </c>
      <c r="C25" s="17">
        <v>988</v>
      </c>
      <c r="D25" s="17">
        <v>0</v>
      </c>
      <c r="E25" s="17">
        <v>988</v>
      </c>
    </row>
    <row r="26" spans="1:5" x14ac:dyDescent="0.25">
      <c r="A26" s="14" t="s">
        <v>147</v>
      </c>
      <c r="B26" s="14" t="s">
        <v>29</v>
      </c>
      <c r="C26" s="17">
        <v>5512</v>
      </c>
      <c r="D26" s="17">
        <v>0</v>
      </c>
      <c r="E26" s="17">
        <v>5512</v>
      </c>
    </row>
    <row r="27" spans="1:5" x14ac:dyDescent="0.25">
      <c r="A27" s="14" t="s">
        <v>149</v>
      </c>
      <c r="B27" s="14" t="s">
        <v>30</v>
      </c>
      <c r="C27" s="17">
        <v>12600</v>
      </c>
      <c r="D27" s="17">
        <v>7500</v>
      </c>
      <c r="E27" s="17">
        <v>20100</v>
      </c>
    </row>
    <row r="28" spans="1:5" x14ac:dyDescent="0.25">
      <c r="A28" s="14" t="s">
        <v>150</v>
      </c>
      <c r="B28" s="14" t="s">
        <v>31</v>
      </c>
      <c r="C28" s="17">
        <v>1300</v>
      </c>
      <c r="D28" s="17">
        <v>0</v>
      </c>
      <c r="E28" s="17">
        <v>1300</v>
      </c>
    </row>
    <row r="29" spans="1:5" x14ac:dyDescent="0.25">
      <c r="A29" s="14" t="s">
        <v>151</v>
      </c>
      <c r="B29" s="14" t="s">
        <v>32</v>
      </c>
      <c r="C29" s="17">
        <v>4472</v>
      </c>
      <c r="D29" s="17">
        <v>0</v>
      </c>
      <c r="E29" s="17">
        <v>4472</v>
      </c>
    </row>
    <row r="30" spans="1:5" x14ac:dyDescent="0.25">
      <c r="A30" s="14" t="s">
        <v>154</v>
      </c>
      <c r="B30" s="14" t="s">
        <v>33</v>
      </c>
      <c r="C30" s="17">
        <v>2548</v>
      </c>
      <c r="D30" s="17">
        <v>0</v>
      </c>
      <c r="E30" s="17">
        <v>2548</v>
      </c>
    </row>
    <row r="31" spans="1:5" x14ac:dyDescent="0.25">
      <c r="A31" s="14" t="s">
        <v>155</v>
      </c>
      <c r="B31" s="14" t="s">
        <v>34</v>
      </c>
      <c r="C31" s="17">
        <v>1872</v>
      </c>
      <c r="D31" s="17">
        <v>0</v>
      </c>
      <c r="E31" s="17">
        <v>1872</v>
      </c>
    </row>
    <row r="32" spans="1:5" x14ac:dyDescent="0.25">
      <c r="A32" s="14" t="s">
        <v>156</v>
      </c>
      <c r="B32" s="14" t="s">
        <v>35</v>
      </c>
      <c r="C32" s="17">
        <v>2366</v>
      </c>
      <c r="D32" s="17">
        <v>0</v>
      </c>
      <c r="E32" s="17">
        <v>2366</v>
      </c>
    </row>
    <row r="33" spans="1:5" x14ac:dyDescent="0.25">
      <c r="A33" s="14" t="s">
        <v>159</v>
      </c>
      <c r="B33" s="14" t="s">
        <v>36</v>
      </c>
      <c r="C33" s="17">
        <v>7558</v>
      </c>
      <c r="D33" s="17">
        <v>0</v>
      </c>
      <c r="E33" s="17">
        <v>7558</v>
      </c>
    </row>
    <row r="34" spans="1:5" x14ac:dyDescent="0.25">
      <c r="A34" s="14" t="s">
        <v>160</v>
      </c>
      <c r="B34" s="14" t="s">
        <v>37</v>
      </c>
      <c r="C34" s="17">
        <v>4706</v>
      </c>
      <c r="D34" s="17">
        <v>0</v>
      </c>
      <c r="E34" s="17">
        <v>4706</v>
      </c>
    </row>
    <row r="35" spans="1:5" x14ac:dyDescent="0.25">
      <c r="A35" s="14" t="s">
        <v>162</v>
      </c>
      <c r="B35" s="14" t="s">
        <v>38</v>
      </c>
      <c r="C35" s="17">
        <v>3588</v>
      </c>
      <c r="D35" s="17">
        <v>4500</v>
      </c>
      <c r="E35" s="17">
        <v>8088</v>
      </c>
    </row>
    <row r="36" spans="1:5" x14ac:dyDescent="0.25">
      <c r="A36" s="14" t="s">
        <v>163</v>
      </c>
      <c r="B36" s="14" t="s">
        <v>39</v>
      </c>
      <c r="C36" s="17">
        <v>3068</v>
      </c>
      <c r="D36" s="17">
        <v>0</v>
      </c>
      <c r="E36" s="17">
        <v>3068</v>
      </c>
    </row>
    <row r="37" spans="1:5" x14ac:dyDescent="0.25">
      <c r="A37" s="14" t="s">
        <v>165</v>
      </c>
      <c r="B37" s="14" t="s">
        <v>40</v>
      </c>
      <c r="C37" s="17">
        <v>7280</v>
      </c>
      <c r="D37" s="17">
        <v>0</v>
      </c>
      <c r="E37" s="17">
        <v>7280</v>
      </c>
    </row>
    <row r="38" spans="1:5" x14ac:dyDescent="0.25">
      <c r="A38" s="14" t="s">
        <v>167</v>
      </c>
      <c r="B38" s="14" t="s">
        <v>41</v>
      </c>
      <c r="C38" s="17">
        <v>5616</v>
      </c>
      <c r="D38" s="17">
        <v>0</v>
      </c>
      <c r="E38" s="17">
        <v>5616</v>
      </c>
    </row>
    <row r="39" spans="1:5" x14ac:dyDescent="0.25">
      <c r="A39" s="14" t="s">
        <v>168</v>
      </c>
      <c r="B39" s="14" t="s">
        <v>42</v>
      </c>
      <c r="C39" s="17">
        <v>5902</v>
      </c>
      <c r="D39" s="17">
        <v>0</v>
      </c>
      <c r="E39" s="17">
        <v>5902</v>
      </c>
    </row>
    <row r="40" spans="1:5" x14ac:dyDescent="0.25">
      <c r="A40" s="14" t="s">
        <v>169</v>
      </c>
      <c r="B40" s="14" t="s">
        <v>43</v>
      </c>
      <c r="C40" s="17">
        <v>2028</v>
      </c>
      <c r="D40" s="17">
        <v>0</v>
      </c>
      <c r="E40" s="17">
        <v>2028</v>
      </c>
    </row>
    <row r="41" spans="1:5" x14ac:dyDescent="0.25">
      <c r="A41" s="14" t="s">
        <v>172</v>
      </c>
      <c r="B41" s="14" t="s">
        <v>44</v>
      </c>
      <c r="C41" s="17">
        <v>3120</v>
      </c>
      <c r="D41" s="17">
        <v>0</v>
      </c>
      <c r="E41" s="17">
        <v>3120</v>
      </c>
    </row>
    <row r="42" spans="1:5" x14ac:dyDescent="0.25">
      <c r="A42" s="14" t="s">
        <v>221</v>
      </c>
      <c r="B42" s="14" t="s">
        <v>45</v>
      </c>
      <c r="C42" s="17">
        <v>7826</v>
      </c>
      <c r="D42" s="17">
        <v>0</v>
      </c>
      <c r="E42" s="17">
        <v>7826</v>
      </c>
    </row>
    <row r="43" spans="1:5" x14ac:dyDescent="0.25">
      <c r="A43" s="14" t="s">
        <v>176</v>
      </c>
      <c r="B43" s="14" t="s">
        <v>47</v>
      </c>
      <c r="C43" s="17">
        <v>3406</v>
      </c>
      <c r="D43" s="17">
        <v>0</v>
      </c>
      <c r="E43" s="17">
        <v>3406</v>
      </c>
    </row>
    <row r="44" spans="1:5" x14ac:dyDescent="0.25">
      <c r="A44" s="14" t="s">
        <v>177</v>
      </c>
      <c r="B44" s="14" t="s">
        <v>48</v>
      </c>
      <c r="C44" s="17">
        <v>3978</v>
      </c>
      <c r="D44" s="17">
        <v>0</v>
      </c>
      <c r="E44" s="17">
        <v>3978</v>
      </c>
    </row>
    <row r="45" spans="1:5" x14ac:dyDescent="0.25">
      <c r="A45" s="14" t="s">
        <v>178</v>
      </c>
      <c r="B45" s="14" t="s">
        <v>49</v>
      </c>
      <c r="C45" s="17">
        <v>7280</v>
      </c>
      <c r="D45" s="17">
        <v>10500</v>
      </c>
      <c r="E45" s="17">
        <v>17780</v>
      </c>
    </row>
    <row r="46" spans="1:5" x14ac:dyDescent="0.25">
      <c r="A46" s="14" t="s">
        <v>179</v>
      </c>
      <c r="B46" s="14" t="s">
        <v>50</v>
      </c>
      <c r="C46" s="17">
        <v>2184</v>
      </c>
      <c r="D46" s="17">
        <v>0</v>
      </c>
      <c r="E46" s="17">
        <v>2184</v>
      </c>
    </row>
    <row r="47" spans="1:5" x14ac:dyDescent="0.25">
      <c r="A47" s="14" t="s">
        <v>180</v>
      </c>
      <c r="B47" s="14" t="s">
        <v>51</v>
      </c>
      <c r="C47" s="17">
        <v>1274</v>
      </c>
      <c r="D47" s="17">
        <v>0</v>
      </c>
      <c r="E47" s="17">
        <v>1274</v>
      </c>
    </row>
    <row r="48" spans="1:5" x14ac:dyDescent="0.25">
      <c r="A48" s="14" t="s">
        <v>181</v>
      </c>
      <c r="B48" s="14" t="s">
        <v>52</v>
      </c>
      <c r="C48" s="17">
        <v>1456</v>
      </c>
      <c r="D48" s="17">
        <v>0</v>
      </c>
      <c r="E48" s="17">
        <v>1456</v>
      </c>
    </row>
    <row r="49" spans="1:5" x14ac:dyDescent="0.25">
      <c r="A49" s="14" t="s">
        <v>182</v>
      </c>
      <c r="B49" s="14" t="s">
        <v>53</v>
      </c>
      <c r="C49" s="17">
        <v>7030</v>
      </c>
      <c r="D49" s="17">
        <v>0</v>
      </c>
      <c r="E49" s="17">
        <v>7030</v>
      </c>
    </row>
    <row r="50" spans="1:5" x14ac:dyDescent="0.25">
      <c r="A50" s="14" t="s">
        <v>183</v>
      </c>
      <c r="B50" s="14" t="s">
        <v>54</v>
      </c>
      <c r="C50" s="17">
        <v>10374</v>
      </c>
      <c r="D50" s="17">
        <v>1500</v>
      </c>
      <c r="E50" s="17">
        <v>11874</v>
      </c>
    </row>
    <row r="51" spans="1:5" x14ac:dyDescent="0.25">
      <c r="A51" s="14" t="s">
        <v>93</v>
      </c>
      <c r="B51" s="14" t="s">
        <v>5</v>
      </c>
      <c r="C51" s="17">
        <v>2418</v>
      </c>
      <c r="D51" s="17">
        <v>1500</v>
      </c>
      <c r="E51" s="17">
        <v>3918</v>
      </c>
    </row>
    <row r="52" spans="1:5" x14ac:dyDescent="0.25">
      <c r="A52" s="14" t="s">
        <v>95</v>
      </c>
      <c r="B52" s="14" t="s">
        <v>6</v>
      </c>
      <c r="C52" s="17">
        <v>3172</v>
      </c>
      <c r="D52" s="17">
        <v>4500</v>
      </c>
      <c r="E52" s="17">
        <v>7672</v>
      </c>
    </row>
    <row r="53" spans="1:5" x14ac:dyDescent="0.25">
      <c r="A53" s="14" t="s">
        <v>100</v>
      </c>
      <c r="B53" s="14" t="s">
        <v>223</v>
      </c>
      <c r="C53" s="17">
        <v>1950</v>
      </c>
      <c r="D53" s="17">
        <v>1500</v>
      </c>
      <c r="E53" s="17">
        <v>3450</v>
      </c>
    </row>
    <row r="54" spans="1:5" x14ac:dyDescent="0.25">
      <c r="A54" s="14" t="s">
        <v>109</v>
      </c>
      <c r="B54" s="14" t="s">
        <v>14</v>
      </c>
      <c r="C54" s="17">
        <v>3120</v>
      </c>
      <c r="D54" s="17">
        <v>0</v>
      </c>
      <c r="E54" s="17">
        <v>3120</v>
      </c>
    </row>
    <row r="55" spans="1:5" x14ac:dyDescent="0.25">
      <c r="A55" s="14" t="s">
        <v>139</v>
      </c>
      <c r="B55" s="14" t="s">
        <v>23</v>
      </c>
      <c r="C55" s="17">
        <v>2080</v>
      </c>
      <c r="D55" s="17">
        <v>0</v>
      </c>
      <c r="E55" s="17">
        <v>2080</v>
      </c>
    </row>
    <row r="56" spans="1:5" x14ac:dyDescent="0.25">
      <c r="A56" s="14" t="s">
        <v>146</v>
      </c>
      <c r="B56" s="14" t="s">
        <v>28</v>
      </c>
      <c r="C56" s="17">
        <v>3120</v>
      </c>
      <c r="D56" s="17">
        <v>4500</v>
      </c>
      <c r="E56" s="17">
        <v>7620</v>
      </c>
    </row>
    <row r="57" spans="1:5" x14ac:dyDescent="0.25">
      <c r="A57" s="14" t="s">
        <v>175</v>
      </c>
      <c r="B57" s="14" t="s">
        <v>46</v>
      </c>
      <c r="C57" s="17">
        <v>1066</v>
      </c>
      <c r="D57" s="17">
        <v>0</v>
      </c>
      <c r="E57" s="17">
        <v>1066</v>
      </c>
    </row>
    <row r="58" spans="1:5" x14ac:dyDescent="0.25">
      <c r="A58" s="14" t="s">
        <v>173</v>
      </c>
      <c r="B58" s="14" t="s">
        <v>212</v>
      </c>
      <c r="C58" s="17">
        <v>858</v>
      </c>
      <c r="D58" s="17">
        <v>0</v>
      </c>
      <c r="E58" s="17">
        <v>858</v>
      </c>
    </row>
    <row r="59" spans="1:5" x14ac:dyDescent="0.25">
      <c r="A59" s="14" t="s">
        <v>94</v>
      </c>
      <c r="B59" s="14" t="s">
        <v>213</v>
      </c>
      <c r="C59" s="17">
        <v>1352</v>
      </c>
      <c r="D59" s="17">
        <v>1500</v>
      </c>
      <c r="E59" s="17">
        <v>2852</v>
      </c>
    </row>
    <row r="60" spans="1:5" x14ac:dyDescent="0.25">
      <c r="B60" s="16" t="s">
        <v>224</v>
      </c>
      <c r="C60" s="22">
        <f>SUM(C8:C59)</f>
        <v>255240</v>
      </c>
      <c r="D60" s="22">
        <f t="shared" ref="D60:E60" si="0">SUM(D8:D59)</f>
        <v>55446</v>
      </c>
      <c r="E60" s="22">
        <f t="shared" si="0"/>
        <v>310686</v>
      </c>
    </row>
  </sheetData>
  <sortState xmlns:xlrd2="http://schemas.microsoft.com/office/spreadsheetml/2017/richdata2" ref="A8:E59">
    <sortCondition ref="A8:A5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E215-9F4A-466C-AF03-EC9C6E2D1D22}">
  <dimension ref="B1:AD114"/>
  <sheetViews>
    <sheetView topLeftCell="A38" workbookViewId="0">
      <selection activeCell="E64" sqref="E64"/>
    </sheetView>
  </sheetViews>
  <sheetFormatPr defaultRowHeight="15" x14ac:dyDescent="0.25"/>
  <cols>
    <col min="2" max="2" width="11.28515625" bestFit="1" customWidth="1"/>
    <col min="3" max="3" width="30.85546875" customWidth="1"/>
    <col min="4" max="4" width="21" customWidth="1"/>
    <col min="5" max="5" width="24.140625" bestFit="1" customWidth="1"/>
    <col min="6" max="6" width="25.140625" bestFit="1" customWidth="1"/>
    <col min="7" max="7" width="23.140625" customWidth="1"/>
    <col min="8" max="8" width="3.5703125" customWidth="1"/>
    <col min="9" max="9" width="25.140625" style="7" customWidth="1"/>
    <col min="10" max="10" width="30.140625" style="7" customWidth="1"/>
  </cols>
  <sheetData>
    <row r="1" spans="2:30" x14ac:dyDescent="0.25">
      <c r="M1" t="s">
        <v>184</v>
      </c>
    </row>
    <row r="2" spans="2:30" x14ac:dyDescent="0.25">
      <c r="M2" s="4" t="s">
        <v>185</v>
      </c>
    </row>
    <row r="3" spans="2:30" x14ac:dyDescent="0.25">
      <c r="B3" t="s">
        <v>186</v>
      </c>
    </row>
    <row r="4" spans="2:30" x14ac:dyDescent="0.25">
      <c r="D4" t="s">
        <v>187</v>
      </c>
      <c r="E4" t="s">
        <v>188</v>
      </c>
      <c r="F4" t="s">
        <v>189</v>
      </c>
      <c r="G4" t="s">
        <v>190</v>
      </c>
    </row>
    <row r="5" spans="2:30" x14ac:dyDescent="0.25">
      <c r="B5" s="3" t="s">
        <v>2</v>
      </c>
      <c r="C5" s="3" t="s">
        <v>3</v>
      </c>
      <c r="D5" s="10" t="s">
        <v>55</v>
      </c>
      <c r="E5" s="3" t="s">
        <v>191</v>
      </c>
      <c r="F5" s="3" t="s">
        <v>192</v>
      </c>
      <c r="G5" s="3" t="s">
        <v>193</v>
      </c>
      <c r="H5" s="5" t="s">
        <v>194</v>
      </c>
      <c r="I5" s="11" t="s">
        <v>195</v>
      </c>
      <c r="J5" s="8" t="s">
        <v>196</v>
      </c>
    </row>
    <row r="6" spans="2:30" x14ac:dyDescent="0.25">
      <c r="B6" t="e">
        <f>VLOOKUP(C6,#REF!,2,TRUE)</f>
        <v>#REF!</v>
      </c>
      <c r="C6" t="s">
        <v>57</v>
      </c>
      <c r="E6">
        <v>8640</v>
      </c>
      <c r="H6" s="6"/>
      <c r="I6" s="7">
        <f>SUM(Table1[[#This Row],[2330  Paraprofessional]:[2330  Paraprofessional3]])</f>
        <v>8640</v>
      </c>
      <c r="J6" s="7">
        <f t="shared" ref="J6:J37" si="0">SUM(D6,I6)</f>
        <v>8640</v>
      </c>
      <c r="M6" s="23" t="s">
        <v>197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2:30" x14ac:dyDescent="0.25">
      <c r="B7" t="e">
        <f>VLOOKUP(C7,#REF!,2,TRUE)</f>
        <v>#REF!</v>
      </c>
      <c r="C7" t="s">
        <v>58</v>
      </c>
      <c r="F7">
        <v>18144</v>
      </c>
      <c r="H7" s="6"/>
      <c r="I7" s="7">
        <f>SUM(Table1[[#This Row],[2330  Paraprofessional]:[2330  Paraprofessional3]])</f>
        <v>18144</v>
      </c>
      <c r="J7" s="7">
        <f t="shared" si="0"/>
        <v>18144</v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2:30" x14ac:dyDescent="0.25">
      <c r="B8" t="e">
        <f>VLOOKUP(C8,#REF!,2,TRUE)</f>
        <v>#REF!</v>
      </c>
      <c r="C8" t="s">
        <v>9</v>
      </c>
      <c r="D8">
        <f>12825+1996.88+15525+365.63</f>
        <v>30712.510000000002</v>
      </c>
      <c r="H8" s="6"/>
      <c r="I8" s="7">
        <f>SUM(Table1[[#This Row],[2330  Paraprofessional]:[2330  Paraprofessional3]])</f>
        <v>0</v>
      </c>
      <c r="J8" s="7">
        <f t="shared" si="0"/>
        <v>30712.510000000002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x14ac:dyDescent="0.25">
      <c r="B9" t="e">
        <f>VLOOKUP(C9,#REF!,2,TRUE)</f>
        <v>#REF!</v>
      </c>
      <c r="C9" t="s">
        <v>10</v>
      </c>
      <c r="F9">
        <v>118440</v>
      </c>
      <c r="H9" s="6"/>
      <c r="I9" s="7">
        <f>SUM(Table1[[#This Row],[2330  Paraprofessional]:[2330  Paraprofessional3]])</f>
        <v>118440</v>
      </c>
      <c r="J9" s="7">
        <f t="shared" si="0"/>
        <v>118440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x14ac:dyDescent="0.25">
      <c r="B10" t="e">
        <f>VLOOKUP(C10,#REF!,2,TRUE)</f>
        <v>#REF!</v>
      </c>
      <c r="C10" t="s">
        <v>198</v>
      </c>
      <c r="E10">
        <v>8640</v>
      </c>
      <c r="H10" s="6"/>
      <c r="I10" s="7">
        <f>SUM(Table1[[#This Row],[2330  Paraprofessional]:[2330  Paraprofessional3]])</f>
        <v>8640</v>
      </c>
      <c r="J10" s="7">
        <f t="shared" si="0"/>
        <v>8640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2:30" x14ac:dyDescent="0.25">
      <c r="B11" t="e">
        <f>VLOOKUP(C11,#REF!,2,TRUE)</f>
        <v>#REF!</v>
      </c>
      <c r="C11" t="s">
        <v>59</v>
      </c>
      <c r="F11">
        <v>27216</v>
      </c>
      <c r="H11" s="6"/>
      <c r="I11" s="7">
        <f>SUM(Table1[[#This Row],[2330  Paraprofessional]:[2330  Paraprofessional3]])</f>
        <v>27216</v>
      </c>
      <c r="J11" s="7">
        <f t="shared" si="0"/>
        <v>27216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2:30" x14ac:dyDescent="0.25">
      <c r="B12" t="e">
        <f>VLOOKUP(C12,#REF!,2,TRUE)</f>
        <v>#REF!</v>
      </c>
      <c r="C12" t="s">
        <v>60</v>
      </c>
      <c r="D12">
        <f>129487.5+96525+22725+1060</f>
        <v>249797.5</v>
      </c>
      <c r="H12" s="6"/>
      <c r="I12" s="7">
        <f>SUM(Table1[[#This Row],[2330  Paraprofessional]:[2330  Paraprofessional3]])</f>
        <v>0</v>
      </c>
      <c r="J12" s="7">
        <f t="shared" si="0"/>
        <v>249797.5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2:30" x14ac:dyDescent="0.25">
      <c r="B13" t="e">
        <f>VLOOKUP(C13,#REF!,2,TRUE)</f>
        <v>#REF!</v>
      </c>
      <c r="C13" t="s">
        <v>61</v>
      </c>
      <c r="F13">
        <v>12096</v>
      </c>
      <c r="H13" s="6"/>
      <c r="I13" s="7">
        <f>SUM(Table1[[#This Row],[2330  Paraprofessional]:[2330  Paraprofessional3]])</f>
        <v>12096</v>
      </c>
      <c r="J13" s="7">
        <f t="shared" si="0"/>
        <v>12096</v>
      </c>
    </row>
    <row r="14" spans="2:30" x14ac:dyDescent="0.25">
      <c r="B14" t="e">
        <f>VLOOKUP(C14,#REF!,2,TRUE)</f>
        <v>#REF!</v>
      </c>
      <c r="C14" t="s">
        <v>62</v>
      </c>
      <c r="D14">
        <v>7237.5</v>
      </c>
      <c r="H14" s="6"/>
      <c r="I14" s="7">
        <f>SUM(Table1[[#This Row],[2330  Paraprofessional]:[2330  Paraprofessional3]])</f>
        <v>0</v>
      </c>
      <c r="J14" s="7">
        <f t="shared" si="0"/>
        <v>7237.5</v>
      </c>
    </row>
    <row r="15" spans="2:30" x14ac:dyDescent="0.25">
      <c r="B15" t="e">
        <f>VLOOKUP(C15,#REF!,2,TRUE)</f>
        <v>#REF!</v>
      </c>
      <c r="C15" t="s">
        <v>63</v>
      </c>
      <c r="F15">
        <v>31752</v>
      </c>
      <c r="H15" s="6"/>
      <c r="I15" s="7">
        <f>SUM(Table1[[#This Row],[2330  Paraprofessional]:[2330  Paraprofessional3]])</f>
        <v>31752</v>
      </c>
      <c r="J15" s="7">
        <f t="shared" si="0"/>
        <v>31752</v>
      </c>
    </row>
    <row r="16" spans="2:30" x14ac:dyDescent="0.25">
      <c r="B16" t="e">
        <f>VLOOKUP(C16,#REF!,2,TRUE)</f>
        <v>#REF!</v>
      </c>
      <c r="C16" t="s">
        <v>199</v>
      </c>
      <c r="D16">
        <f>16200</f>
        <v>16200</v>
      </c>
      <c r="H16" s="6"/>
      <c r="I16" s="7">
        <f>SUM(Table1[[#This Row],[2330  Paraprofessional]:[2330  Paraprofessional3]])</f>
        <v>0</v>
      </c>
      <c r="J16" s="7">
        <f t="shared" si="0"/>
        <v>16200</v>
      </c>
    </row>
    <row r="17" spans="2:10" x14ac:dyDescent="0.25">
      <c r="B17" t="e">
        <f>VLOOKUP(C17,#REF!,2,TRUE)</f>
        <v>#REF!</v>
      </c>
      <c r="C17" t="s">
        <v>64</v>
      </c>
      <c r="F17">
        <v>18144</v>
      </c>
      <c r="H17" s="6"/>
      <c r="I17" s="7">
        <f>SUM(Table1[[#This Row],[2330  Paraprofessional]:[2330  Paraprofessional3]])</f>
        <v>18144</v>
      </c>
      <c r="J17" s="7">
        <f t="shared" si="0"/>
        <v>18144</v>
      </c>
    </row>
    <row r="18" spans="2:10" x14ac:dyDescent="0.25">
      <c r="B18" t="e">
        <f>VLOOKUP(C18,#REF!,2,TRUE)</f>
        <v>#REF!</v>
      </c>
      <c r="C18" t="s">
        <v>65</v>
      </c>
      <c r="D18">
        <f>20250+3881.25+27000+24975+1106.25+21600+2756.25</f>
        <v>101568.75</v>
      </c>
      <c r="H18" s="6"/>
      <c r="I18" s="7">
        <f>SUM(Table1[[#This Row],[2330  Paraprofessional]:[2330  Paraprofessional3]])</f>
        <v>0</v>
      </c>
      <c r="J18" s="7">
        <f t="shared" si="0"/>
        <v>101568.75</v>
      </c>
    </row>
    <row r="19" spans="2:10" x14ac:dyDescent="0.25">
      <c r="B19" t="e">
        <f>VLOOKUP(C19,#REF!,2,TRUE)</f>
        <v>#REF!</v>
      </c>
      <c r="C19" t="s">
        <v>66</v>
      </c>
      <c r="D19">
        <f>29925+10256.25</f>
        <v>40181.25</v>
      </c>
      <c r="H19" s="6"/>
      <c r="I19" s="7">
        <f>SUM(Table1[[#This Row],[2330  Paraprofessional]:[2330  Paraprofessional3]])</f>
        <v>0</v>
      </c>
      <c r="J19" s="7">
        <f t="shared" si="0"/>
        <v>40181.25</v>
      </c>
    </row>
    <row r="20" spans="2:10" x14ac:dyDescent="0.25">
      <c r="B20" t="e">
        <f>VLOOKUP(C20,#REF!,2,TRUE)</f>
        <v>#REF!</v>
      </c>
      <c r="C20" t="s">
        <v>67</v>
      </c>
      <c r="F20">
        <v>25200</v>
      </c>
      <c r="H20" s="6"/>
      <c r="I20" s="7">
        <f>SUM(Table1[[#This Row],[2330  Paraprofessional]:[2330  Paraprofessional3]])</f>
        <v>25200</v>
      </c>
      <c r="J20" s="7">
        <f t="shared" si="0"/>
        <v>25200</v>
      </c>
    </row>
    <row r="21" spans="2:10" x14ac:dyDescent="0.25">
      <c r="B21" t="e">
        <f>VLOOKUP(C21,#REF!,2,TRUE)</f>
        <v>#REF!</v>
      </c>
      <c r="C21" t="s">
        <v>68</v>
      </c>
      <c r="F21">
        <v>4032</v>
      </c>
      <c r="H21" s="6"/>
      <c r="I21" s="7">
        <f>SUM(Table1[[#This Row],[2330  Paraprofessional]:[2330  Paraprofessional3]])</f>
        <v>4032</v>
      </c>
      <c r="J21" s="7">
        <f t="shared" si="0"/>
        <v>4032</v>
      </c>
    </row>
    <row r="22" spans="2:10" x14ac:dyDescent="0.25">
      <c r="B22" t="e">
        <f>VLOOKUP(C22,#REF!,2,TRUE)</f>
        <v>#REF!</v>
      </c>
      <c r="C22" t="s">
        <v>69</v>
      </c>
      <c r="F22">
        <v>20160</v>
      </c>
      <c r="H22" s="6"/>
      <c r="I22" s="7">
        <f>SUM(Table1[[#This Row],[2330  Paraprofessional]:[2330  Paraprofessional3]])</f>
        <v>20160</v>
      </c>
      <c r="J22" s="7">
        <f t="shared" si="0"/>
        <v>20160</v>
      </c>
    </row>
    <row r="23" spans="2:10" x14ac:dyDescent="0.25">
      <c r="B23" t="e">
        <f>VLOOKUP(C23,#REF!,2,TRUE)</f>
        <v>#REF!</v>
      </c>
      <c r="C23" t="s">
        <v>18</v>
      </c>
      <c r="F23">
        <v>49392</v>
      </c>
      <c r="H23" s="6"/>
      <c r="I23" s="7">
        <f>SUM(Table1[[#This Row],[2330  Paraprofessional]:[2330  Paraprofessional3]])</f>
        <v>49392</v>
      </c>
      <c r="J23" s="7">
        <f t="shared" si="0"/>
        <v>49392</v>
      </c>
    </row>
    <row r="24" spans="2:10" x14ac:dyDescent="0.25">
      <c r="B24" t="e">
        <f>VLOOKUP(C24,#REF!,2,TRUE)</f>
        <v>#REF!</v>
      </c>
      <c r="C24" t="s">
        <v>70</v>
      </c>
      <c r="D24">
        <f>11475+932.06</f>
        <v>12407.06</v>
      </c>
      <c r="H24" s="6"/>
      <c r="I24" s="7">
        <f>SUM(Table1[[#This Row],[2330  Paraprofessional]:[2330  Paraprofessional3]])</f>
        <v>0</v>
      </c>
      <c r="J24" s="7">
        <f t="shared" si="0"/>
        <v>12407.06</v>
      </c>
    </row>
    <row r="25" spans="2:10" x14ac:dyDescent="0.25">
      <c r="B25" t="e">
        <f>VLOOKUP(C25,#REF!,2,TRUE)</f>
        <v>#REF!</v>
      </c>
      <c r="C25" t="s">
        <v>71</v>
      </c>
      <c r="E25">
        <v>8740</v>
      </c>
      <c r="F25">
        <v>13000</v>
      </c>
      <c r="H25" s="6"/>
      <c r="I25" s="7">
        <f>SUM(Table1[[#This Row],[2330  Paraprofessional]:[2330  Paraprofessional3]])</f>
        <v>21740</v>
      </c>
      <c r="J25" s="7">
        <f t="shared" si="0"/>
        <v>21740</v>
      </c>
    </row>
    <row r="26" spans="2:10" x14ac:dyDescent="0.25">
      <c r="B26" t="e">
        <f>VLOOKUP(C26,#REF!,2,TRUE)</f>
        <v>#REF!</v>
      </c>
      <c r="C26" t="s">
        <v>72</v>
      </c>
      <c r="E26">
        <v>8000</v>
      </c>
      <c r="F26">
        <v>13208</v>
      </c>
      <c r="H26" s="6"/>
      <c r="I26" s="7">
        <f>SUM(Table1[[#This Row],[2330  Paraprofessional]:[2330  Paraprofessional3]])</f>
        <v>21208</v>
      </c>
      <c r="J26" s="7">
        <f t="shared" si="0"/>
        <v>21208</v>
      </c>
    </row>
    <row r="27" spans="2:10" x14ac:dyDescent="0.25">
      <c r="B27" t="e">
        <f>VLOOKUP(C27,#REF!,2,TRUE)</f>
        <v>#REF!</v>
      </c>
      <c r="C27" t="s">
        <v>73</v>
      </c>
      <c r="D27">
        <f>4050+10237.5+168.75</f>
        <v>14456.25</v>
      </c>
      <c r="H27" s="6"/>
      <c r="I27" s="7">
        <f>SUM(Table1[[#This Row],[2330  Paraprofessional]:[2330  Paraprofessional3]])</f>
        <v>0</v>
      </c>
      <c r="J27" s="7">
        <f t="shared" si="0"/>
        <v>14456.25</v>
      </c>
    </row>
    <row r="28" spans="2:10" x14ac:dyDescent="0.25">
      <c r="B28" t="e">
        <f>VLOOKUP(C28,#REF!,2,TRUE)</f>
        <v>#REF!</v>
      </c>
      <c r="C28" t="s">
        <v>74</v>
      </c>
      <c r="D28">
        <f>8100</f>
        <v>8100</v>
      </c>
      <c r="H28" s="6"/>
      <c r="I28" s="7">
        <f>SUM(Table1[[#This Row],[2330  Paraprofessional]:[2330  Paraprofessional3]])</f>
        <v>0</v>
      </c>
      <c r="J28" s="7">
        <f t="shared" si="0"/>
        <v>8100</v>
      </c>
    </row>
    <row r="29" spans="2:10" x14ac:dyDescent="0.25">
      <c r="B29" t="e">
        <f>VLOOKUP(C29,#REF!,2,TRUE)</f>
        <v>#REF!</v>
      </c>
      <c r="C29" t="s">
        <v>20</v>
      </c>
      <c r="D29">
        <f>33750</f>
        <v>33750</v>
      </c>
      <c r="F29">
        <v>7056</v>
      </c>
      <c r="H29" s="6"/>
      <c r="I29" s="7">
        <f>SUM(Table1[[#This Row],[2330  Paraprofessional]:[2330  Paraprofessional3]])</f>
        <v>7056</v>
      </c>
      <c r="J29" s="7">
        <f t="shared" si="0"/>
        <v>40806</v>
      </c>
    </row>
    <row r="30" spans="2:10" x14ac:dyDescent="0.25">
      <c r="B30" t="e">
        <f>VLOOKUP(C30,#REF!,2,TRUE)</f>
        <v>#REF!</v>
      </c>
      <c r="C30" t="s">
        <v>75</v>
      </c>
      <c r="D30">
        <f>6555+10800+3243.75+6075+1321.88</f>
        <v>27995.63</v>
      </c>
      <c r="H30" s="6"/>
      <c r="I30" s="7">
        <f>SUM(Table1[[#This Row],[2330  Paraprofessional]:[2330  Paraprofessional3]])</f>
        <v>0</v>
      </c>
      <c r="J30" s="7">
        <f t="shared" si="0"/>
        <v>27995.63</v>
      </c>
    </row>
    <row r="31" spans="2:10" x14ac:dyDescent="0.25">
      <c r="B31" t="e">
        <f>VLOOKUP(C31,#REF!,2,TRUE)</f>
        <v>#REF!</v>
      </c>
      <c r="C31" t="s">
        <v>200</v>
      </c>
      <c r="F31">
        <v>20160</v>
      </c>
      <c r="H31" s="6"/>
      <c r="I31" s="7">
        <f>SUM(Table1[[#This Row],[2330  Paraprofessional]:[2330  Paraprofessional3]])</f>
        <v>20160</v>
      </c>
      <c r="J31" s="7">
        <f t="shared" si="0"/>
        <v>20160</v>
      </c>
    </row>
    <row r="32" spans="2:10" x14ac:dyDescent="0.25">
      <c r="B32" t="e">
        <f>VLOOKUP(C32,#REF!,2,TRUE)</f>
        <v>#REF!</v>
      </c>
      <c r="C32" t="s">
        <v>76</v>
      </c>
      <c r="G32">
        <v>27997.200000000001</v>
      </c>
      <c r="H32" s="6"/>
      <c r="I32" s="7">
        <f>SUM(Table1[[#This Row],[2330  Paraprofessional]:[2330  Paraprofessional3]])</f>
        <v>27997.200000000001</v>
      </c>
      <c r="J32" s="7">
        <f t="shared" si="0"/>
        <v>27997.200000000001</v>
      </c>
    </row>
    <row r="33" spans="2:10" x14ac:dyDescent="0.25">
      <c r="B33" t="e">
        <f>VLOOKUP(C33,#REF!,2,TRUE)</f>
        <v>#REF!</v>
      </c>
      <c r="C33" t="s">
        <v>77</v>
      </c>
      <c r="F33">
        <v>12600</v>
      </c>
      <c r="H33" s="6"/>
      <c r="I33" s="7">
        <f>SUM(Table1[[#This Row],[2330  Paraprofessional]:[2330  Paraprofessional3]])</f>
        <v>12600</v>
      </c>
      <c r="J33" s="7">
        <f t="shared" si="0"/>
        <v>12600</v>
      </c>
    </row>
    <row r="34" spans="2:10" x14ac:dyDescent="0.25">
      <c r="B34" t="e">
        <f>VLOOKUP(C34,#REF!,2,TRUE)</f>
        <v>#REF!</v>
      </c>
      <c r="C34" t="s">
        <v>201</v>
      </c>
      <c r="D34">
        <f>16200</f>
        <v>16200</v>
      </c>
      <c r="H34" s="6"/>
      <c r="I34" s="7">
        <f>SUM(Table1[[#This Row],[2330  Paraprofessional]:[2330  Paraprofessional3]])</f>
        <v>0</v>
      </c>
      <c r="J34" s="7">
        <f t="shared" si="0"/>
        <v>16200</v>
      </c>
    </row>
    <row r="35" spans="2:10" x14ac:dyDescent="0.25">
      <c r="B35" t="e">
        <f>VLOOKUP(C35,#REF!,2,TRUE)</f>
        <v>#REF!</v>
      </c>
      <c r="C35" t="s">
        <v>78</v>
      </c>
      <c r="F35">
        <v>12600</v>
      </c>
      <c r="H35" s="6"/>
      <c r="I35" s="7">
        <f>SUM(Table1[[#This Row],[2330  Paraprofessional]:[2330  Paraprofessional3]])</f>
        <v>12600</v>
      </c>
      <c r="J35" s="7">
        <f t="shared" si="0"/>
        <v>12600</v>
      </c>
    </row>
    <row r="36" spans="2:10" x14ac:dyDescent="0.25">
      <c r="B36" t="e">
        <f>VLOOKUP(C36,#REF!,2,TRUE)</f>
        <v>#REF!</v>
      </c>
      <c r="C36" t="s">
        <v>79</v>
      </c>
      <c r="F36">
        <v>9072</v>
      </c>
      <c r="H36" s="6"/>
      <c r="I36" s="7">
        <f>SUM(Table1[[#This Row],[2330  Paraprofessional]:[2330  Paraprofessional3]])</f>
        <v>9072</v>
      </c>
      <c r="J36" s="7">
        <f t="shared" si="0"/>
        <v>9072</v>
      </c>
    </row>
    <row r="37" spans="2:10" x14ac:dyDescent="0.25">
      <c r="B37" t="e">
        <f>VLOOKUP(C37,#REF!,2,TRUE)</f>
        <v>#REF!</v>
      </c>
      <c r="C37" t="s">
        <v>23</v>
      </c>
      <c r="D37">
        <f>13500+1378.13</f>
        <v>14878.130000000001</v>
      </c>
      <c r="H37" s="6"/>
      <c r="I37" s="7">
        <f>SUM(Table1[[#This Row],[2330  Paraprofessional]:[2330  Paraprofessional3]])</f>
        <v>0</v>
      </c>
      <c r="J37" s="7">
        <f t="shared" si="0"/>
        <v>14878.130000000001</v>
      </c>
    </row>
    <row r="38" spans="2:10" x14ac:dyDescent="0.25">
      <c r="B38" t="e">
        <f>VLOOKUP(C38,#REF!,2,TRUE)</f>
        <v>#REF!</v>
      </c>
      <c r="C38" t="s">
        <v>80</v>
      </c>
      <c r="F38">
        <v>38472</v>
      </c>
      <c r="H38" s="6"/>
      <c r="I38" s="7">
        <f>SUM(Table1[[#This Row],[2330  Paraprofessional]:[2330  Paraprofessional3]])</f>
        <v>38472</v>
      </c>
      <c r="J38" s="7">
        <f t="shared" ref="J38:J60" si="1">SUM(D38,I38)</f>
        <v>38472</v>
      </c>
    </row>
    <row r="39" spans="2:10" x14ac:dyDescent="0.25">
      <c r="B39" t="e">
        <f>VLOOKUP(C39,#REF!,2,TRUE)</f>
        <v>#REF!</v>
      </c>
      <c r="C39" t="s">
        <v>81</v>
      </c>
      <c r="G39">
        <v>7499.25</v>
      </c>
      <c r="H39" s="6"/>
      <c r="I39" s="7">
        <f>SUM(Table1[[#This Row],[2330  Paraprofessional]:[2330  Paraprofessional3]])</f>
        <v>7499.25</v>
      </c>
      <c r="J39" s="7">
        <f t="shared" si="1"/>
        <v>7499.25</v>
      </c>
    </row>
    <row r="40" spans="2:10" x14ac:dyDescent="0.25">
      <c r="B40" t="e">
        <f>VLOOKUP(C40,#REF!,2,TRUE)</f>
        <v>#REF!</v>
      </c>
      <c r="C40" t="s">
        <v>27</v>
      </c>
      <c r="D40">
        <f>13856.25+20250+983.79</f>
        <v>35090.04</v>
      </c>
      <c r="H40" s="6"/>
      <c r="I40" s="7">
        <f>SUM(Table1[[#This Row],[2330  Paraprofessional]:[2330  Paraprofessional3]])</f>
        <v>0</v>
      </c>
      <c r="J40" s="7">
        <f t="shared" si="1"/>
        <v>35090.04</v>
      </c>
    </row>
    <row r="41" spans="2:10" x14ac:dyDescent="0.25">
      <c r="B41" t="e">
        <f>VLOOKUP(C41,#REF!,2,TRUE)</f>
        <v>#REF!</v>
      </c>
      <c r="C41" t="s">
        <v>82</v>
      </c>
      <c r="F41" s="1">
        <f>36288+51912</f>
        <v>88200</v>
      </c>
      <c r="H41" s="6"/>
      <c r="I41" s="7">
        <f>SUM(Table1[[#This Row],[2330  Paraprofessional]:[2330  Paraprofessional3]])</f>
        <v>88200</v>
      </c>
      <c r="J41" s="7">
        <f t="shared" si="1"/>
        <v>88200</v>
      </c>
    </row>
    <row r="42" spans="2:10" x14ac:dyDescent="0.25">
      <c r="B42" t="e">
        <f>VLOOKUP(C42,#REF!,2,TRUE)</f>
        <v>#REF!</v>
      </c>
      <c r="C42" t="s">
        <v>31</v>
      </c>
      <c r="D42">
        <f>7331.25+3375+1650</f>
        <v>12356.25</v>
      </c>
      <c r="H42" s="6"/>
      <c r="I42" s="7">
        <f>SUM(Table1[[#This Row],[2330  Paraprofessional]:[2330  Paraprofessional3]])</f>
        <v>0</v>
      </c>
      <c r="J42" s="7">
        <f t="shared" si="1"/>
        <v>12356.25</v>
      </c>
    </row>
    <row r="43" spans="2:10" x14ac:dyDescent="0.25">
      <c r="B43" t="e">
        <f>VLOOKUP(C43,#REF!,2,TRUE)</f>
        <v>#REF!</v>
      </c>
      <c r="C43" t="s">
        <v>32</v>
      </c>
      <c r="F43" s="1">
        <v>18144</v>
      </c>
      <c r="H43" s="6"/>
      <c r="I43" s="7">
        <f>SUM(Table1[[#This Row],[2330  Paraprofessional]:[2330  Paraprofessional3]])</f>
        <v>18144</v>
      </c>
      <c r="J43" s="7">
        <f t="shared" si="1"/>
        <v>18144</v>
      </c>
    </row>
    <row r="44" spans="2:10" x14ac:dyDescent="0.25">
      <c r="B44" t="e">
        <f>VLOOKUP(C44,#REF!,2,TRUE)</f>
        <v>#REF!</v>
      </c>
      <c r="C44" t="s">
        <v>83</v>
      </c>
      <c r="F44">
        <v>37800</v>
      </c>
      <c r="H44" s="6"/>
      <c r="I44" s="7">
        <f>SUM(Table1[[#This Row],[2330  Paraprofessional]:[2330  Paraprofessional3]])</f>
        <v>37800</v>
      </c>
      <c r="J44" s="7">
        <f t="shared" si="1"/>
        <v>37800</v>
      </c>
    </row>
    <row r="45" spans="2:10" x14ac:dyDescent="0.25">
      <c r="B45" t="e">
        <f>VLOOKUP(C45,#REF!,2,TRUE)</f>
        <v>#REF!</v>
      </c>
      <c r="C45" t="s">
        <v>84</v>
      </c>
      <c r="D45">
        <f>5400+5400+3375+4668.51</f>
        <v>18843.510000000002</v>
      </c>
      <c r="H45" s="6"/>
      <c r="I45" s="7">
        <f>SUM(Table1[[#This Row],[2330  Paraprofessional]:[2330  Paraprofessional3]])</f>
        <v>0</v>
      </c>
      <c r="J45" s="7">
        <f t="shared" si="1"/>
        <v>18843.510000000002</v>
      </c>
    </row>
    <row r="46" spans="2:10" x14ac:dyDescent="0.25">
      <c r="B46" t="e">
        <f>VLOOKUP(C46,#REF!,2,TRUE)</f>
        <v>#REF!</v>
      </c>
      <c r="C46" t="s">
        <v>85</v>
      </c>
      <c r="E46">
        <v>17280</v>
      </c>
      <c r="H46" s="6"/>
      <c r="I46" s="7">
        <f>SUM(Table1[[#This Row],[2330  Paraprofessional]:[2330  Paraprofessional3]])</f>
        <v>17280</v>
      </c>
      <c r="J46" s="7">
        <f t="shared" si="1"/>
        <v>17280</v>
      </c>
    </row>
    <row r="47" spans="2:10" x14ac:dyDescent="0.25">
      <c r="B47" t="e">
        <f>VLOOKUP(C47,#REF!,2,TRUE)</f>
        <v>#REF!</v>
      </c>
      <c r="C47" t="s">
        <v>86</v>
      </c>
      <c r="G47">
        <v>11498.85</v>
      </c>
      <c r="H47" s="6"/>
      <c r="I47" s="7">
        <f>SUM(Table1[[#This Row],[2330  Paraprofessional]:[2330  Paraprofessional3]])</f>
        <v>11498.85</v>
      </c>
      <c r="J47" s="7">
        <f t="shared" si="1"/>
        <v>11498.85</v>
      </c>
    </row>
    <row r="48" spans="2:10" x14ac:dyDescent="0.25">
      <c r="B48" t="e">
        <f>VLOOKUP(C48,#REF!,2,TRUE)</f>
        <v>#REF!</v>
      </c>
      <c r="C48" t="s">
        <v>36</v>
      </c>
      <c r="G48">
        <f>34996.5+19998</f>
        <v>54994.5</v>
      </c>
      <c r="H48" s="6"/>
      <c r="I48" s="7">
        <f>SUM(Table1[[#This Row],[2330  Paraprofessional]:[2330  Paraprofessional3]])</f>
        <v>54994.5</v>
      </c>
      <c r="J48" s="7">
        <f t="shared" si="1"/>
        <v>54994.5</v>
      </c>
    </row>
    <row r="49" spans="2:10" x14ac:dyDescent="0.25">
      <c r="B49" t="e">
        <f>VLOOKUP(C49,#REF!,2,TRUE)</f>
        <v>#REF!</v>
      </c>
      <c r="C49" t="s">
        <v>37</v>
      </c>
      <c r="F49">
        <v>19656</v>
      </c>
      <c r="H49" s="6"/>
      <c r="I49" s="7">
        <f>SUM(Table1[[#This Row],[2330  Paraprofessional]:[2330  Paraprofessional3]])</f>
        <v>19656</v>
      </c>
      <c r="J49" s="7">
        <f t="shared" si="1"/>
        <v>19656</v>
      </c>
    </row>
    <row r="50" spans="2:10" x14ac:dyDescent="0.25">
      <c r="B50" t="e">
        <f>VLOOKUP(C50,#REF!,2,TRUE)</f>
        <v>#REF!</v>
      </c>
      <c r="C50" t="s">
        <v>202</v>
      </c>
      <c r="D50">
        <f>4500+3375+675</f>
        <v>8550</v>
      </c>
      <c r="H50" s="6"/>
      <c r="I50" s="7">
        <f>SUM(Table1[[#This Row],[2330  Paraprofessional]:[2330  Paraprofessional3]])</f>
        <v>0</v>
      </c>
      <c r="J50" s="7">
        <f t="shared" si="1"/>
        <v>8550</v>
      </c>
    </row>
    <row r="51" spans="2:10" x14ac:dyDescent="0.25">
      <c r="B51" t="e">
        <f>VLOOKUP(C51,#REF!,2,TRUE)</f>
        <v>#REF!</v>
      </c>
      <c r="C51" t="s">
        <v>39</v>
      </c>
      <c r="E51">
        <v>100980</v>
      </c>
      <c r="F51">
        <v>2772</v>
      </c>
      <c r="H51" s="6"/>
      <c r="I51" s="7">
        <f>SUM(Table1[[#This Row],[2330  Paraprofessional]:[2330  Paraprofessional3]])</f>
        <v>103752</v>
      </c>
      <c r="J51" s="7">
        <f t="shared" si="1"/>
        <v>103752</v>
      </c>
    </row>
    <row r="52" spans="2:10" x14ac:dyDescent="0.25">
      <c r="B52" t="e">
        <f>VLOOKUP(C52,#REF!,2,TRUE)</f>
        <v>#REF!</v>
      </c>
      <c r="C52" t="s">
        <v>87</v>
      </c>
      <c r="D52">
        <f>15562.5+15525+393.75</f>
        <v>31481.25</v>
      </c>
      <c r="G52">
        <v>5999.4</v>
      </c>
      <c r="H52" s="6"/>
      <c r="I52" s="7">
        <f>SUM(Table1[[#This Row],[2330  Paraprofessional]:[2330  Paraprofessional3]])</f>
        <v>5999.4</v>
      </c>
      <c r="J52" s="7">
        <f t="shared" si="1"/>
        <v>37480.65</v>
      </c>
    </row>
    <row r="53" spans="2:10" x14ac:dyDescent="0.25">
      <c r="B53" t="e">
        <f>VLOOKUP(C53,#REF!,2,TRUE)</f>
        <v>#REF!</v>
      </c>
      <c r="C53" t="s">
        <v>88</v>
      </c>
      <c r="G53">
        <f>34996.5+44995.5</f>
        <v>79992</v>
      </c>
      <c r="H53" s="6"/>
      <c r="I53" s="7">
        <f>SUM(Table1[[#This Row],[2330  Paraprofessional]:[2330  Paraprofessional3]])</f>
        <v>79992</v>
      </c>
      <c r="J53" s="7">
        <f t="shared" si="1"/>
        <v>79992</v>
      </c>
    </row>
    <row r="54" spans="2:10" x14ac:dyDescent="0.25">
      <c r="B54" t="e">
        <f>VLOOKUP(C54,#REF!,2,TRUE)</f>
        <v>#REF!</v>
      </c>
      <c r="C54" t="s">
        <v>41</v>
      </c>
      <c r="D54">
        <f>8100+562.5+1350+300+1743.75</f>
        <v>12056.25</v>
      </c>
      <c r="H54" s="6"/>
      <c r="I54" s="7">
        <f>SUM(Table1[[#This Row],[2330  Paraprofessional]:[2330  Paraprofessional3]])</f>
        <v>0</v>
      </c>
      <c r="J54" s="7">
        <f t="shared" si="1"/>
        <v>12056.25</v>
      </c>
    </row>
    <row r="55" spans="2:10" x14ac:dyDescent="0.25">
      <c r="B55" t="e">
        <f>VLOOKUP(C55,#REF!,2,TRUE)</f>
        <v>#REF!</v>
      </c>
      <c r="C55" t="s">
        <v>89</v>
      </c>
      <c r="D55">
        <f>2700+18225+1012.5+3693.75</f>
        <v>25631.25</v>
      </c>
      <c r="H55" s="6"/>
      <c r="I55" s="7">
        <f>SUM(Table1[[#This Row],[2330  Paraprofessional]:[2330  Paraprofessional3]])</f>
        <v>0</v>
      </c>
      <c r="J55" s="7">
        <f t="shared" si="1"/>
        <v>25631.25</v>
      </c>
    </row>
    <row r="56" spans="2:10" x14ac:dyDescent="0.25">
      <c r="B56" t="e">
        <f>VLOOKUP(C56,#REF!,2,TRUE)</f>
        <v>#REF!</v>
      </c>
      <c r="C56" t="s">
        <v>90</v>
      </c>
      <c r="E56">
        <f>38880+69120</f>
        <v>108000</v>
      </c>
      <c r="F56">
        <f>14112+24696+22176</f>
        <v>60984</v>
      </c>
      <c r="G56">
        <f>10498.95+11498.85+7249.42</f>
        <v>29247.22</v>
      </c>
      <c r="H56" s="6"/>
      <c r="I56" s="7">
        <f>SUM(Table1[[#This Row],[2330  Paraprofessional]:[2330  Paraprofessional3]])</f>
        <v>198231.22</v>
      </c>
      <c r="J56" s="7">
        <f t="shared" si="1"/>
        <v>198231.22</v>
      </c>
    </row>
    <row r="57" spans="2:10" x14ac:dyDescent="0.25">
      <c r="B57" t="e">
        <f>VLOOKUP(C57,#REF!,2,TRUE)</f>
        <v>#REF!</v>
      </c>
      <c r="C57" t="s">
        <v>45</v>
      </c>
      <c r="D57">
        <f>6431.25</f>
        <v>6431.25</v>
      </c>
      <c r="H57" s="6"/>
      <c r="I57" s="7">
        <f>SUM(Table1[[#This Row],[2330  Paraprofessional]:[2330  Paraprofessional3]])</f>
        <v>0</v>
      </c>
      <c r="J57" s="7">
        <f t="shared" si="1"/>
        <v>6431.25</v>
      </c>
    </row>
    <row r="58" spans="2:10" x14ac:dyDescent="0.25">
      <c r="B58" t="e">
        <f>VLOOKUP(C58,#REF!,2,TRUE)</f>
        <v>#REF!</v>
      </c>
      <c r="C58" t="s">
        <v>91</v>
      </c>
      <c r="F58">
        <v>12600</v>
      </c>
      <c r="H58" s="6"/>
      <c r="I58" s="7">
        <f>SUM(Table1[[#This Row],[2330  Paraprofessional]:[2330  Paraprofessional3]])</f>
        <v>12600</v>
      </c>
      <c r="J58" s="7">
        <f t="shared" si="1"/>
        <v>12600</v>
      </c>
    </row>
    <row r="59" spans="2:10" x14ac:dyDescent="0.25">
      <c r="B59" t="e">
        <f>VLOOKUP(C59,#REF!,2,TRUE)</f>
        <v>#REF!</v>
      </c>
      <c r="C59" t="s">
        <v>92</v>
      </c>
      <c r="F59">
        <v>12096</v>
      </c>
      <c r="H59" s="6"/>
      <c r="I59" s="7">
        <f>SUM(Table1[[#This Row],[2330  Paraprofessional]:[2330  Paraprofessional3]])</f>
        <v>12096</v>
      </c>
      <c r="J59" s="7">
        <f t="shared" si="1"/>
        <v>12096</v>
      </c>
    </row>
    <row r="60" spans="2:10" x14ac:dyDescent="0.25">
      <c r="B60" t="e">
        <f>VLOOKUP(C60,#REF!,2,TRUE)</f>
        <v>#REF!</v>
      </c>
      <c r="C60" t="s">
        <v>46</v>
      </c>
      <c r="F60">
        <v>58464</v>
      </c>
      <c r="H60" s="6"/>
      <c r="I60" s="7">
        <f>SUM(Table1[[#This Row],[2330  Paraprofessional]:[2330  Paraprofessional3]])</f>
        <v>58464</v>
      </c>
      <c r="J60" s="7">
        <f t="shared" si="1"/>
        <v>58464</v>
      </c>
    </row>
    <row r="61" spans="2:10" x14ac:dyDescent="0.25">
      <c r="B61" t="e">
        <f>VLOOKUP(C61,#REF!,2,TRUE)</f>
        <v>#REF!</v>
      </c>
      <c r="D61">
        <f>SUM(D6:D60)</f>
        <v>723924.38</v>
      </c>
      <c r="E61">
        <f>SUM(E6:E60)</f>
        <v>260280</v>
      </c>
      <c r="F61">
        <f>SUM(F6:F60)</f>
        <v>761460</v>
      </c>
      <c r="G61">
        <f>SUM(G6:G60)</f>
        <v>217228.41999999998</v>
      </c>
      <c r="H61" s="6"/>
      <c r="I61" s="7">
        <f>SUM(Table1[[#This Row],[2330  Paraprofessional]:[2330  Paraprofessional3]])</f>
        <v>1238968.42</v>
      </c>
      <c r="J61" s="7">
        <f>SUM(Table1[[#This Row],[2305 Classroom Teachers]:[230 Paraprofessional3]])</f>
        <v>1962892.7999999998</v>
      </c>
    </row>
    <row r="62" spans="2:10" x14ac:dyDescent="0.25">
      <c r="B62" t="e">
        <f>VLOOKUP(C62,#REF!,2,TRUE)</f>
        <v>#REF!</v>
      </c>
      <c r="H62" s="6"/>
      <c r="I62" s="7">
        <f>SUM(Table1[[#This Row],[2330  Paraprofessional]:[2330  Paraprofessional3]])</f>
        <v>0</v>
      </c>
      <c r="J62" s="7">
        <f>SUM(Table1[[#This Row],[2305 Classroom Teachers]:[230 Paraprofessional3]])</f>
        <v>0</v>
      </c>
    </row>
    <row r="63" spans="2:10" x14ac:dyDescent="0.25">
      <c r="B63" t="e">
        <f>VLOOKUP(C63,#REF!,2,TRUE)</f>
        <v>#REF!</v>
      </c>
    </row>
    <row r="64" spans="2:10" x14ac:dyDescent="0.25">
      <c r="B64" t="e">
        <f>VLOOKUP(C64,#REF!,2,TRUE)</f>
        <v>#REF!</v>
      </c>
    </row>
    <row r="65" spans="2:2" x14ac:dyDescent="0.25">
      <c r="B65" t="e">
        <f>VLOOKUP(C65,#REF!,2,TRUE)</f>
        <v>#REF!</v>
      </c>
    </row>
    <row r="66" spans="2:2" x14ac:dyDescent="0.25">
      <c r="B66" t="e">
        <f>VLOOKUP(C66,#REF!,2,TRUE)</f>
        <v>#REF!</v>
      </c>
    </row>
    <row r="67" spans="2:2" x14ac:dyDescent="0.25">
      <c r="B67" t="e">
        <f>VLOOKUP(C67,#REF!,2,TRUE)</f>
        <v>#REF!</v>
      </c>
    </row>
    <row r="68" spans="2:2" x14ac:dyDescent="0.25">
      <c r="B68" t="e">
        <f>VLOOKUP(C68,#REF!,2,TRUE)</f>
        <v>#REF!</v>
      </c>
    </row>
    <row r="69" spans="2:2" x14ac:dyDescent="0.25">
      <c r="B69" t="e">
        <f>VLOOKUP(C69,#REF!,2,TRUE)</f>
        <v>#REF!</v>
      </c>
    </row>
    <row r="70" spans="2:2" x14ac:dyDescent="0.25">
      <c r="B70" t="e">
        <f>VLOOKUP(C70,#REF!,2,TRUE)</f>
        <v>#REF!</v>
      </c>
    </row>
    <row r="71" spans="2:2" x14ac:dyDescent="0.25">
      <c r="B71" t="e">
        <f>VLOOKUP(C71,#REF!,2,TRUE)</f>
        <v>#REF!</v>
      </c>
    </row>
    <row r="72" spans="2:2" x14ac:dyDescent="0.25">
      <c r="B72" t="e">
        <f>VLOOKUP(C72,#REF!,2,TRUE)</f>
        <v>#REF!</v>
      </c>
    </row>
    <row r="73" spans="2:2" x14ac:dyDescent="0.25">
      <c r="B73" t="e">
        <f>VLOOKUP(C73,#REF!,2,TRUE)</f>
        <v>#REF!</v>
      </c>
    </row>
    <row r="74" spans="2:2" x14ac:dyDescent="0.25">
      <c r="B74" t="e">
        <f>VLOOKUP(C74,#REF!,2,TRUE)</f>
        <v>#REF!</v>
      </c>
    </row>
    <row r="75" spans="2:2" x14ac:dyDescent="0.25">
      <c r="B75" t="e">
        <f>VLOOKUP(C75,#REF!,2,TRUE)</f>
        <v>#REF!</v>
      </c>
    </row>
    <row r="76" spans="2:2" x14ac:dyDescent="0.25">
      <c r="B76" t="e">
        <f>VLOOKUP(C76,#REF!,2,TRUE)</f>
        <v>#REF!</v>
      </c>
    </row>
    <row r="77" spans="2:2" x14ac:dyDescent="0.25">
      <c r="B77" t="e">
        <f>VLOOKUP(C77,#REF!,2,TRUE)</f>
        <v>#REF!</v>
      </c>
    </row>
    <row r="78" spans="2:2" x14ac:dyDescent="0.25">
      <c r="B78" t="e">
        <f>VLOOKUP(C78,#REF!,2,TRUE)</f>
        <v>#REF!</v>
      </c>
    </row>
    <row r="79" spans="2:2" x14ac:dyDescent="0.25">
      <c r="B79" t="e">
        <f>VLOOKUP(C79,#REF!,2,TRUE)</f>
        <v>#REF!</v>
      </c>
    </row>
    <row r="80" spans="2:2" x14ac:dyDescent="0.25">
      <c r="B80" t="e">
        <f>VLOOKUP(C80,#REF!,2,TRUE)</f>
        <v>#REF!</v>
      </c>
    </row>
    <row r="81" spans="2:2" x14ac:dyDescent="0.25">
      <c r="B81" t="e">
        <f>VLOOKUP(C81,#REF!,2,TRUE)</f>
        <v>#REF!</v>
      </c>
    </row>
    <row r="82" spans="2:2" x14ac:dyDescent="0.25">
      <c r="B82" t="e">
        <f>VLOOKUP(C82,#REF!,2,TRUE)</f>
        <v>#REF!</v>
      </c>
    </row>
    <row r="83" spans="2:2" x14ac:dyDescent="0.25">
      <c r="B83" t="e">
        <f>VLOOKUP(C83,#REF!,2,TRUE)</f>
        <v>#REF!</v>
      </c>
    </row>
    <row r="84" spans="2:2" x14ac:dyDescent="0.25">
      <c r="B84" t="e">
        <f>VLOOKUP(C84,#REF!,2,TRUE)</f>
        <v>#REF!</v>
      </c>
    </row>
    <row r="85" spans="2:2" x14ac:dyDescent="0.25">
      <c r="B85" t="e">
        <f>VLOOKUP(C85,#REF!,2,TRUE)</f>
        <v>#REF!</v>
      </c>
    </row>
    <row r="86" spans="2:2" x14ac:dyDescent="0.25">
      <c r="B86" t="e">
        <f>VLOOKUP(C86,#REF!,2,TRUE)</f>
        <v>#REF!</v>
      </c>
    </row>
    <row r="87" spans="2:2" x14ac:dyDescent="0.25">
      <c r="B87" t="e">
        <f>VLOOKUP(C87,#REF!,2,TRUE)</f>
        <v>#REF!</v>
      </c>
    </row>
    <row r="88" spans="2:2" x14ac:dyDescent="0.25">
      <c r="B88" t="e">
        <f>VLOOKUP(C88,#REF!,2,TRUE)</f>
        <v>#REF!</v>
      </c>
    </row>
    <row r="89" spans="2:2" x14ac:dyDescent="0.25">
      <c r="B89" t="e">
        <f>VLOOKUP(C89,#REF!,2,TRUE)</f>
        <v>#REF!</v>
      </c>
    </row>
    <row r="90" spans="2:2" x14ac:dyDescent="0.25">
      <c r="B90" t="e">
        <f>VLOOKUP(C90,#REF!,2,TRUE)</f>
        <v>#REF!</v>
      </c>
    </row>
    <row r="91" spans="2:2" x14ac:dyDescent="0.25">
      <c r="B91" t="e">
        <f>VLOOKUP(C91,#REF!,2,TRUE)</f>
        <v>#REF!</v>
      </c>
    </row>
    <row r="92" spans="2:2" x14ac:dyDescent="0.25">
      <c r="B92" t="e">
        <f>VLOOKUP(C92,#REF!,2,TRUE)</f>
        <v>#REF!</v>
      </c>
    </row>
    <row r="93" spans="2:2" x14ac:dyDescent="0.25">
      <c r="B93" t="e">
        <f>VLOOKUP(C93,#REF!,2,TRUE)</f>
        <v>#REF!</v>
      </c>
    </row>
    <row r="94" spans="2:2" x14ac:dyDescent="0.25">
      <c r="B94" t="e">
        <f>VLOOKUP(C94,#REF!,2,TRUE)</f>
        <v>#REF!</v>
      </c>
    </row>
    <row r="95" spans="2:2" x14ac:dyDescent="0.25">
      <c r="B95" t="e">
        <f>VLOOKUP(C95,#REF!,2,TRUE)</f>
        <v>#REF!</v>
      </c>
    </row>
    <row r="96" spans="2:2" x14ac:dyDescent="0.25">
      <c r="B96" t="e">
        <f>VLOOKUP(C96,#REF!,2,TRUE)</f>
        <v>#REF!</v>
      </c>
    </row>
    <row r="97" spans="2:9" x14ac:dyDescent="0.25">
      <c r="B97" t="e">
        <f>VLOOKUP(C97,#REF!,2,TRUE)</f>
        <v>#REF!</v>
      </c>
    </row>
    <row r="98" spans="2:9" x14ac:dyDescent="0.25">
      <c r="B98" t="e">
        <f>VLOOKUP(C98,#REF!,2,TRUE)</f>
        <v>#REF!</v>
      </c>
    </row>
    <row r="99" spans="2:9" x14ac:dyDescent="0.25">
      <c r="B99" t="e">
        <f>VLOOKUP(C99,#REF!,2,TRUE)</f>
        <v>#REF!</v>
      </c>
    </row>
    <row r="100" spans="2:9" x14ac:dyDescent="0.25">
      <c r="B100" t="e">
        <f>VLOOKUP(C100,#REF!,2,TRUE)</f>
        <v>#REF!</v>
      </c>
    </row>
    <row r="101" spans="2:9" x14ac:dyDescent="0.25">
      <c r="B101" t="e">
        <f>VLOOKUP(C101,#REF!,2,TRUE)</f>
        <v>#REF!</v>
      </c>
    </row>
    <row r="102" spans="2:9" x14ac:dyDescent="0.25">
      <c r="B102" t="e">
        <f>VLOOKUP(C102,#REF!,2,TRUE)</f>
        <v>#REF!</v>
      </c>
    </row>
    <row r="103" spans="2:9" x14ac:dyDescent="0.25">
      <c r="B103" t="e">
        <f>VLOOKUP(C103,#REF!,2,TRUE)</f>
        <v>#REF!</v>
      </c>
    </row>
    <row r="107" spans="2:9" x14ac:dyDescent="0.25">
      <c r="D107" s="2"/>
      <c r="E107" s="2"/>
      <c r="F107" s="2"/>
      <c r="G107" s="2"/>
      <c r="H107" s="2"/>
      <c r="I107" s="9"/>
    </row>
    <row r="108" spans="2:9" x14ac:dyDescent="0.25">
      <c r="D108" s="2"/>
      <c r="E108" s="2"/>
      <c r="F108" s="2"/>
      <c r="G108" s="2"/>
      <c r="H108" s="2"/>
      <c r="I108" s="9"/>
    </row>
    <row r="109" spans="2:9" x14ac:dyDescent="0.25">
      <c r="D109" s="2"/>
      <c r="E109" s="2"/>
      <c r="F109" s="2"/>
      <c r="G109" s="2"/>
      <c r="H109" s="2"/>
      <c r="I109" s="9"/>
    </row>
    <row r="110" spans="2:9" x14ac:dyDescent="0.25">
      <c r="D110" s="2"/>
      <c r="E110" s="2"/>
      <c r="F110" s="2"/>
      <c r="G110" s="2"/>
      <c r="H110" s="2"/>
      <c r="I110" s="9"/>
    </row>
    <row r="111" spans="2:9" x14ac:dyDescent="0.25">
      <c r="D111" s="2"/>
      <c r="E111" s="2"/>
      <c r="F111" s="2"/>
      <c r="G111" s="2"/>
      <c r="H111" s="2"/>
      <c r="I111" s="9"/>
    </row>
    <row r="112" spans="2:9" x14ac:dyDescent="0.25">
      <c r="D112" s="2"/>
      <c r="E112" s="2"/>
      <c r="F112" s="2"/>
      <c r="G112" s="2"/>
      <c r="H112" s="2"/>
      <c r="I112" s="9"/>
    </row>
    <row r="113" spans="4:9" x14ac:dyDescent="0.25">
      <c r="D113" s="2"/>
      <c r="E113" s="2"/>
      <c r="F113" s="2"/>
      <c r="G113" s="2"/>
      <c r="H113" s="2"/>
      <c r="I113" s="9"/>
    </row>
    <row r="114" spans="4:9" x14ac:dyDescent="0.25">
      <c r="D114" s="2"/>
      <c r="E114" s="2"/>
      <c r="F114" s="2"/>
      <c r="G114" s="2"/>
      <c r="H114" s="2"/>
      <c r="I114" s="9"/>
    </row>
  </sheetData>
  <mergeCells count="1">
    <mergeCell ref="M6:AD12"/>
  </mergeCells>
  <phoneticPr fontId="4" type="noConversion"/>
  <hyperlinks>
    <hyperlink ref="M2" r:id="rId1" xr:uid="{DDA7D6B1-A6A2-43A7-96E1-C87E7F35D35F}"/>
  </hyperlinks>
  <pageMargins left="0.7" right="0.7" top="0.75" bottom="0.75" header="0.3" footer="0.3"/>
  <pageSetup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8e5083-a46f-4766-8e64-ee827b9e16b3" xsi:nil="true"/>
    <lcf76f155ced4ddcb4097134ff3c332f xmlns="e12619c7-9a19-4dc6-ad29-a355e3b803fe">
      <Terms xmlns="http://schemas.microsoft.com/office/infopath/2007/PartnerControls"/>
    </lcf76f155ced4ddcb4097134ff3c332f>
    <Date_x002d_time xmlns="e12619c7-9a19-4dc6-ad29-a355e3b803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6" ma:contentTypeDescription="Create a new document." ma:contentTypeScope="" ma:versionID="87ffdf5d95aaed63fae5565195282ba5">
  <xsd:schema xmlns:xsd="http://www.w3.org/2001/XMLSchema" xmlns:xs="http://www.w3.org/2001/XMLSchema" xmlns:p="http://schemas.microsoft.com/office/2006/metadata/properties" xmlns:ns2="e12619c7-9a19-4dc6-ad29-a355e3b803fe" xmlns:ns3="338e5083-a46f-4766-8e64-ee827b9e16b3" targetNamespace="http://schemas.microsoft.com/office/2006/metadata/properties" ma:root="true" ma:fieldsID="d6fe5dfbba69b6da245d96deefe1c386" ns2:_="" ns3:_=""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Date_x002d_ti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_x002d_time" ma:index="22" nillable="true" ma:displayName="Date-time" ma:format="DateOnly" ma:internalName="Date_x002d_time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d1564a5-aa5f-45d4-8d0e-4dfd7be0902d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206D0-2E62-4142-9228-CB7D4672E7AE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e12619c7-9a19-4dc6-ad29-a355e3b803fe"/>
    <ds:schemaRef ds:uri="http://purl.org/dc/dcmitype/"/>
    <ds:schemaRef ds:uri="338e5083-a46f-4766-8e64-ee827b9e16b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28E973C-D9C1-4564-B0D9-653251B069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1B4C9-D69D-4311-93D9-2C9969057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FY24 HDMT Summary</vt:lpstr>
      <vt:lpstr>FY24 MDSP Summary</vt:lpstr>
      <vt:lpstr>Draft - MTP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Accelerating Mathematics Instruction for Students Program</dc:title>
  <dc:subject/>
  <dc:creator>DESE</dc:creator>
  <cp:keywords/>
  <dc:description/>
  <cp:lastModifiedBy>Zou, Dong (EOE)</cp:lastModifiedBy>
  <cp:revision/>
  <cp:lastPrinted>2024-09-06T19:44:12Z</cp:lastPrinted>
  <dcterms:created xsi:type="dcterms:W3CDTF">2024-07-22T18:46:57Z</dcterms:created>
  <dcterms:modified xsi:type="dcterms:W3CDTF">2024-09-11T16:38:45Z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11 2024 12:00AM</vt:lpwstr>
  </property>
</Properties>
</file>